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408"/>
  <workbookPr/>
  <mc:AlternateContent xmlns:mc="http://schemas.openxmlformats.org/markup-compatibility/2006">
    <mc:Choice Requires="x15">
      <x15ac:absPath xmlns:x15ac="http://schemas.microsoft.com/office/spreadsheetml/2010/11/ac" url="/Users/hannapeterson/Downloads/"/>
    </mc:Choice>
  </mc:AlternateContent>
  <bookViews>
    <workbookView xWindow="5500" yWindow="460" windowWidth="26440" windowHeight="16480" tabRatio="597" activeTab="2"/>
  </bookViews>
  <sheets>
    <sheet name="Initial Assessment" sheetId="1" r:id="rId1"/>
    <sheet name="1) 15,1.5" sheetId="2" r:id="rId2"/>
    <sheet name="2) 15, 2.0" sheetId="18" r:id="rId3"/>
    <sheet name="3) 30, 1.5" sheetId="19" r:id="rId4"/>
    <sheet name="4) 30, 2.0" sheetId="20" r:id="rId5"/>
    <sheet name="Est. Annual RR Trips" sheetId="17" r:id="rId6"/>
  </sheet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M10" i="20"/>
  <c r="M10" i="19"/>
  <c r="M10" i="18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6" i="2"/>
  <c r="M27" i="2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6" i="20"/>
  <c r="M27" i="20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6" i="19"/>
  <c r="M27" i="19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6" i="18"/>
  <c r="M27" i="18"/>
  <c r="C44" i="2"/>
  <c r="G10" i="17"/>
  <c r="G9" i="17"/>
  <c r="F13" i="17"/>
  <c r="J61" i="20"/>
  <c r="I61" i="20"/>
  <c r="H61" i="20"/>
  <c r="G61" i="20"/>
  <c r="F61" i="20"/>
  <c r="E61" i="20"/>
  <c r="D61" i="20"/>
  <c r="J60" i="20"/>
  <c r="I60" i="20"/>
  <c r="H60" i="20"/>
  <c r="G60" i="20"/>
  <c r="F60" i="20"/>
  <c r="E60" i="20"/>
  <c r="D60" i="20"/>
  <c r="J59" i="20"/>
  <c r="I59" i="20"/>
  <c r="H59" i="20"/>
  <c r="G59" i="20"/>
  <c r="F59" i="20"/>
  <c r="E59" i="20"/>
  <c r="D59" i="20"/>
  <c r="J58" i="20"/>
  <c r="I58" i="20"/>
  <c r="H58" i="20"/>
  <c r="G58" i="20"/>
  <c r="F58" i="20"/>
  <c r="E58" i="20"/>
  <c r="D58" i="20"/>
  <c r="J57" i="20"/>
  <c r="I57" i="20"/>
  <c r="H57" i="20"/>
  <c r="G57" i="20"/>
  <c r="F57" i="20"/>
  <c r="E57" i="20"/>
  <c r="D57" i="20"/>
  <c r="J56" i="20"/>
  <c r="I56" i="20"/>
  <c r="H56" i="20"/>
  <c r="G56" i="20"/>
  <c r="F56" i="20"/>
  <c r="E56" i="20"/>
  <c r="D56" i="20"/>
  <c r="J55" i="20"/>
  <c r="I55" i="20"/>
  <c r="H55" i="20"/>
  <c r="G55" i="20"/>
  <c r="F55" i="20"/>
  <c r="E55" i="20"/>
  <c r="D55" i="20"/>
  <c r="J54" i="20"/>
  <c r="I54" i="20"/>
  <c r="H54" i="20"/>
  <c r="G54" i="20"/>
  <c r="F54" i="20"/>
  <c r="E54" i="20"/>
  <c r="D54" i="20"/>
  <c r="J53" i="20"/>
  <c r="I53" i="20"/>
  <c r="H53" i="20"/>
  <c r="G53" i="20"/>
  <c r="F53" i="20"/>
  <c r="E53" i="20"/>
  <c r="D53" i="20"/>
  <c r="J52" i="20"/>
  <c r="I52" i="20"/>
  <c r="H52" i="20"/>
  <c r="G52" i="20"/>
  <c r="F52" i="20"/>
  <c r="E52" i="20"/>
  <c r="D52" i="20"/>
  <c r="J51" i="20"/>
  <c r="I51" i="20"/>
  <c r="H51" i="20"/>
  <c r="G51" i="20"/>
  <c r="F51" i="20"/>
  <c r="E51" i="20"/>
  <c r="D51" i="20"/>
  <c r="J50" i="20"/>
  <c r="I50" i="20"/>
  <c r="H50" i="20"/>
  <c r="G50" i="20"/>
  <c r="F50" i="20"/>
  <c r="E50" i="20"/>
  <c r="D50" i="20"/>
  <c r="J49" i="20"/>
  <c r="I49" i="20"/>
  <c r="H49" i="20"/>
  <c r="G49" i="20"/>
  <c r="F49" i="20"/>
  <c r="E49" i="20"/>
  <c r="D49" i="20"/>
  <c r="C48" i="20"/>
  <c r="J47" i="20"/>
  <c r="I47" i="20"/>
  <c r="H47" i="20"/>
  <c r="G47" i="20"/>
  <c r="F47" i="20"/>
  <c r="E47" i="20"/>
  <c r="D47" i="20"/>
  <c r="C46" i="20"/>
  <c r="J45" i="20"/>
  <c r="I45" i="20"/>
  <c r="H45" i="20"/>
  <c r="G45" i="20"/>
  <c r="F45" i="20"/>
  <c r="E45" i="20"/>
  <c r="D45" i="20"/>
  <c r="C44" i="20"/>
  <c r="J43" i="20"/>
  <c r="I43" i="20"/>
  <c r="H43" i="20"/>
  <c r="G43" i="20"/>
  <c r="F43" i="20"/>
  <c r="E43" i="20"/>
  <c r="D43" i="20"/>
  <c r="C42" i="20"/>
  <c r="J41" i="20"/>
  <c r="I41" i="20"/>
  <c r="H41" i="20"/>
  <c r="G41" i="20"/>
  <c r="F41" i="20"/>
  <c r="E41" i="20"/>
  <c r="D41" i="20"/>
  <c r="C40" i="20"/>
  <c r="J39" i="20"/>
  <c r="I39" i="20"/>
  <c r="H39" i="20"/>
  <c r="G39" i="20"/>
  <c r="F39" i="20"/>
  <c r="E39" i="20"/>
  <c r="D39" i="20"/>
  <c r="C38" i="20"/>
  <c r="J37" i="20"/>
  <c r="I37" i="20"/>
  <c r="H37" i="20"/>
  <c r="G37" i="20"/>
  <c r="F37" i="20"/>
  <c r="E37" i="20"/>
  <c r="D37" i="20"/>
  <c r="C36" i="20"/>
  <c r="J35" i="20"/>
  <c r="I35" i="20"/>
  <c r="H35" i="20"/>
  <c r="G35" i="20"/>
  <c r="F35" i="20"/>
  <c r="E35" i="20"/>
  <c r="D35" i="20"/>
  <c r="J27" i="20"/>
  <c r="I27" i="20"/>
  <c r="H27" i="20"/>
  <c r="G27" i="20"/>
  <c r="F27" i="20"/>
  <c r="E27" i="20"/>
  <c r="D27" i="20"/>
  <c r="J26" i="20"/>
  <c r="I26" i="20"/>
  <c r="H26" i="20"/>
  <c r="G26" i="20"/>
  <c r="F26" i="20"/>
  <c r="E26" i="20"/>
  <c r="D26" i="20"/>
  <c r="J25" i="20"/>
  <c r="I25" i="20"/>
  <c r="H25" i="20"/>
  <c r="G25" i="20"/>
  <c r="F25" i="20"/>
  <c r="E25" i="20"/>
  <c r="D25" i="20"/>
  <c r="J24" i="20"/>
  <c r="I24" i="20"/>
  <c r="H24" i="20"/>
  <c r="G24" i="20"/>
  <c r="F24" i="20"/>
  <c r="E24" i="20"/>
  <c r="D24" i="20"/>
  <c r="J23" i="20"/>
  <c r="I23" i="20"/>
  <c r="H23" i="20"/>
  <c r="G23" i="20"/>
  <c r="F23" i="20"/>
  <c r="E23" i="20"/>
  <c r="D23" i="20"/>
  <c r="J22" i="20"/>
  <c r="I22" i="20"/>
  <c r="H22" i="20"/>
  <c r="G22" i="20"/>
  <c r="F22" i="20"/>
  <c r="E22" i="20"/>
  <c r="D22" i="20"/>
  <c r="J21" i="20"/>
  <c r="I21" i="20"/>
  <c r="H21" i="20"/>
  <c r="G21" i="20"/>
  <c r="F21" i="20"/>
  <c r="E21" i="20"/>
  <c r="D21" i="20"/>
  <c r="J20" i="20"/>
  <c r="I20" i="20"/>
  <c r="H20" i="20"/>
  <c r="G20" i="20"/>
  <c r="F20" i="20"/>
  <c r="E20" i="20"/>
  <c r="D20" i="20"/>
  <c r="J19" i="20"/>
  <c r="I19" i="20"/>
  <c r="H19" i="20"/>
  <c r="G19" i="20"/>
  <c r="F19" i="20"/>
  <c r="E19" i="20"/>
  <c r="D19" i="20"/>
  <c r="J18" i="20"/>
  <c r="I18" i="20"/>
  <c r="H18" i="20"/>
  <c r="G18" i="20"/>
  <c r="F18" i="20"/>
  <c r="E18" i="20"/>
  <c r="D18" i="20"/>
  <c r="J17" i="20"/>
  <c r="I17" i="20"/>
  <c r="H17" i="20"/>
  <c r="G17" i="20"/>
  <c r="F17" i="20"/>
  <c r="E17" i="20"/>
  <c r="D17" i="20"/>
  <c r="J16" i="20"/>
  <c r="I16" i="20"/>
  <c r="H16" i="20"/>
  <c r="G16" i="20"/>
  <c r="F16" i="20"/>
  <c r="E16" i="20"/>
  <c r="D16" i="20"/>
  <c r="J15" i="20"/>
  <c r="I15" i="20"/>
  <c r="H15" i="20"/>
  <c r="G15" i="20"/>
  <c r="F15" i="20"/>
  <c r="E15" i="20"/>
  <c r="D15" i="20"/>
  <c r="J14" i="20"/>
  <c r="I14" i="20"/>
  <c r="H14" i="20"/>
  <c r="G14" i="20"/>
  <c r="F14" i="20"/>
  <c r="E14" i="20"/>
  <c r="D14" i="20"/>
  <c r="J13" i="20"/>
  <c r="I13" i="20"/>
  <c r="H13" i="20"/>
  <c r="G13" i="20"/>
  <c r="F13" i="20"/>
  <c r="E13" i="20"/>
  <c r="D13" i="20"/>
  <c r="J12" i="20"/>
  <c r="I12" i="20"/>
  <c r="H12" i="20"/>
  <c r="G12" i="20"/>
  <c r="F12" i="20"/>
  <c r="E12" i="20"/>
  <c r="D12" i="20"/>
  <c r="J11" i="20"/>
  <c r="I11" i="20"/>
  <c r="H11" i="20"/>
  <c r="G11" i="20"/>
  <c r="F11" i="20"/>
  <c r="E11" i="20"/>
  <c r="D11" i="20"/>
  <c r="J10" i="20"/>
  <c r="I10" i="20"/>
  <c r="H10" i="20"/>
  <c r="G10" i="20"/>
  <c r="F10" i="20"/>
  <c r="E10" i="20"/>
  <c r="D10" i="20"/>
  <c r="J61" i="19"/>
  <c r="I61" i="19"/>
  <c r="H61" i="19"/>
  <c r="G61" i="19"/>
  <c r="F61" i="19"/>
  <c r="E61" i="19"/>
  <c r="D61" i="19"/>
  <c r="J60" i="19"/>
  <c r="I60" i="19"/>
  <c r="H60" i="19"/>
  <c r="G60" i="19"/>
  <c r="F60" i="19"/>
  <c r="E60" i="19"/>
  <c r="D60" i="19"/>
  <c r="J59" i="19"/>
  <c r="I59" i="19"/>
  <c r="H59" i="19"/>
  <c r="G59" i="19"/>
  <c r="F59" i="19"/>
  <c r="E59" i="19"/>
  <c r="D59" i="19"/>
  <c r="J58" i="19"/>
  <c r="I58" i="19"/>
  <c r="H58" i="19"/>
  <c r="G58" i="19"/>
  <c r="F58" i="19"/>
  <c r="E58" i="19"/>
  <c r="D58" i="19"/>
  <c r="J57" i="19"/>
  <c r="I57" i="19"/>
  <c r="H57" i="19"/>
  <c r="G57" i="19"/>
  <c r="F57" i="19"/>
  <c r="E57" i="19"/>
  <c r="D57" i="19"/>
  <c r="J56" i="19"/>
  <c r="I56" i="19"/>
  <c r="H56" i="19"/>
  <c r="G56" i="19"/>
  <c r="F56" i="19"/>
  <c r="E56" i="19"/>
  <c r="D56" i="19"/>
  <c r="J55" i="19"/>
  <c r="I55" i="19"/>
  <c r="H55" i="19"/>
  <c r="G55" i="19"/>
  <c r="F55" i="19"/>
  <c r="E55" i="19"/>
  <c r="D55" i="19"/>
  <c r="J54" i="19"/>
  <c r="I54" i="19"/>
  <c r="H54" i="19"/>
  <c r="G54" i="19"/>
  <c r="F54" i="19"/>
  <c r="E54" i="19"/>
  <c r="D54" i="19"/>
  <c r="J53" i="19"/>
  <c r="I53" i="19"/>
  <c r="H53" i="19"/>
  <c r="G53" i="19"/>
  <c r="F53" i="19"/>
  <c r="E53" i="19"/>
  <c r="D53" i="19"/>
  <c r="J52" i="19"/>
  <c r="I52" i="19"/>
  <c r="H52" i="19"/>
  <c r="G52" i="19"/>
  <c r="F52" i="19"/>
  <c r="E52" i="19"/>
  <c r="D52" i="19"/>
  <c r="J51" i="19"/>
  <c r="I51" i="19"/>
  <c r="H51" i="19"/>
  <c r="G51" i="19"/>
  <c r="F51" i="19"/>
  <c r="E51" i="19"/>
  <c r="D51" i="19"/>
  <c r="J50" i="19"/>
  <c r="I50" i="19"/>
  <c r="H50" i="19"/>
  <c r="G50" i="19"/>
  <c r="F50" i="19"/>
  <c r="E50" i="19"/>
  <c r="D50" i="19"/>
  <c r="J49" i="19"/>
  <c r="I49" i="19"/>
  <c r="H49" i="19"/>
  <c r="G49" i="19"/>
  <c r="F49" i="19"/>
  <c r="E49" i="19"/>
  <c r="D49" i="19"/>
  <c r="C48" i="19"/>
  <c r="J47" i="19"/>
  <c r="I47" i="19"/>
  <c r="H47" i="19"/>
  <c r="G47" i="19"/>
  <c r="F47" i="19"/>
  <c r="E47" i="19"/>
  <c r="D47" i="19"/>
  <c r="C46" i="19"/>
  <c r="J45" i="19"/>
  <c r="I45" i="19"/>
  <c r="H45" i="19"/>
  <c r="G45" i="19"/>
  <c r="F45" i="19"/>
  <c r="E45" i="19"/>
  <c r="D45" i="19"/>
  <c r="C44" i="19"/>
  <c r="J43" i="19"/>
  <c r="I43" i="19"/>
  <c r="H43" i="19"/>
  <c r="G43" i="19"/>
  <c r="F43" i="19"/>
  <c r="E43" i="19"/>
  <c r="D43" i="19"/>
  <c r="C42" i="19"/>
  <c r="J41" i="19"/>
  <c r="I41" i="19"/>
  <c r="H41" i="19"/>
  <c r="G41" i="19"/>
  <c r="F41" i="19"/>
  <c r="E41" i="19"/>
  <c r="D41" i="19"/>
  <c r="C40" i="19"/>
  <c r="J39" i="19"/>
  <c r="I39" i="19"/>
  <c r="H39" i="19"/>
  <c r="G39" i="19"/>
  <c r="F39" i="19"/>
  <c r="E39" i="19"/>
  <c r="D39" i="19"/>
  <c r="C38" i="19"/>
  <c r="J37" i="19"/>
  <c r="I37" i="19"/>
  <c r="H37" i="19"/>
  <c r="G37" i="19"/>
  <c r="F37" i="19"/>
  <c r="E37" i="19"/>
  <c r="D37" i="19"/>
  <c r="C36" i="19"/>
  <c r="J35" i="19"/>
  <c r="I35" i="19"/>
  <c r="H35" i="19"/>
  <c r="G35" i="19"/>
  <c r="F35" i="19"/>
  <c r="E35" i="19"/>
  <c r="D35" i="19"/>
  <c r="J27" i="19"/>
  <c r="I27" i="19"/>
  <c r="H27" i="19"/>
  <c r="G27" i="19"/>
  <c r="F27" i="19"/>
  <c r="E27" i="19"/>
  <c r="D27" i="19"/>
  <c r="J26" i="19"/>
  <c r="I26" i="19"/>
  <c r="H26" i="19"/>
  <c r="G26" i="19"/>
  <c r="F26" i="19"/>
  <c r="E26" i="19"/>
  <c r="D26" i="19"/>
  <c r="J25" i="19"/>
  <c r="I25" i="19"/>
  <c r="H25" i="19"/>
  <c r="G25" i="19"/>
  <c r="F25" i="19"/>
  <c r="E25" i="19"/>
  <c r="D25" i="19"/>
  <c r="J24" i="19"/>
  <c r="I24" i="19"/>
  <c r="H24" i="19"/>
  <c r="G24" i="19"/>
  <c r="F24" i="19"/>
  <c r="E24" i="19"/>
  <c r="D24" i="19"/>
  <c r="J23" i="19"/>
  <c r="I23" i="19"/>
  <c r="H23" i="19"/>
  <c r="G23" i="19"/>
  <c r="F23" i="19"/>
  <c r="E23" i="19"/>
  <c r="D23" i="19"/>
  <c r="J22" i="19"/>
  <c r="I22" i="19"/>
  <c r="H22" i="19"/>
  <c r="G22" i="19"/>
  <c r="F22" i="19"/>
  <c r="E22" i="19"/>
  <c r="D22" i="19"/>
  <c r="J21" i="19"/>
  <c r="I21" i="19"/>
  <c r="H21" i="19"/>
  <c r="G21" i="19"/>
  <c r="F21" i="19"/>
  <c r="E21" i="19"/>
  <c r="D21" i="19"/>
  <c r="J20" i="19"/>
  <c r="I20" i="19"/>
  <c r="H20" i="19"/>
  <c r="G20" i="19"/>
  <c r="F20" i="19"/>
  <c r="E20" i="19"/>
  <c r="D20" i="19"/>
  <c r="J19" i="19"/>
  <c r="I19" i="19"/>
  <c r="H19" i="19"/>
  <c r="G19" i="19"/>
  <c r="F19" i="19"/>
  <c r="E19" i="19"/>
  <c r="D19" i="19"/>
  <c r="J18" i="19"/>
  <c r="I18" i="19"/>
  <c r="H18" i="19"/>
  <c r="G18" i="19"/>
  <c r="F18" i="19"/>
  <c r="E18" i="19"/>
  <c r="D18" i="19"/>
  <c r="J17" i="19"/>
  <c r="I17" i="19"/>
  <c r="H17" i="19"/>
  <c r="G17" i="19"/>
  <c r="F17" i="19"/>
  <c r="E17" i="19"/>
  <c r="D17" i="19"/>
  <c r="J16" i="19"/>
  <c r="I16" i="19"/>
  <c r="H16" i="19"/>
  <c r="G16" i="19"/>
  <c r="F16" i="19"/>
  <c r="E16" i="19"/>
  <c r="D16" i="19"/>
  <c r="J15" i="19"/>
  <c r="I15" i="19"/>
  <c r="H15" i="19"/>
  <c r="G15" i="19"/>
  <c r="F15" i="19"/>
  <c r="E15" i="19"/>
  <c r="D15" i="19"/>
  <c r="J14" i="19"/>
  <c r="I14" i="19"/>
  <c r="H14" i="19"/>
  <c r="G14" i="19"/>
  <c r="F14" i="19"/>
  <c r="E14" i="19"/>
  <c r="D14" i="19"/>
  <c r="J13" i="19"/>
  <c r="I13" i="19"/>
  <c r="H13" i="19"/>
  <c r="G13" i="19"/>
  <c r="F13" i="19"/>
  <c r="E13" i="19"/>
  <c r="D13" i="19"/>
  <c r="J12" i="19"/>
  <c r="I12" i="19"/>
  <c r="H12" i="19"/>
  <c r="G12" i="19"/>
  <c r="F12" i="19"/>
  <c r="E12" i="19"/>
  <c r="D12" i="19"/>
  <c r="J11" i="19"/>
  <c r="I11" i="19"/>
  <c r="H11" i="19"/>
  <c r="G11" i="19"/>
  <c r="F11" i="19"/>
  <c r="E11" i="19"/>
  <c r="D11" i="19"/>
  <c r="J10" i="19"/>
  <c r="I10" i="19"/>
  <c r="H10" i="19"/>
  <c r="G10" i="19"/>
  <c r="F10" i="19"/>
  <c r="E10" i="19"/>
  <c r="D10" i="19"/>
  <c r="J61" i="18"/>
  <c r="I61" i="18"/>
  <c r="H61" i="18"/>
  <c r="G61" i="18"/>
  <c r="F61" i="18"/>
  <c r="E61" i="18"/>
  <c r="D61" i="18"/>
  <c r="J60" i="18"/>
  <c r="I60" i="18"/>
  <c r="H60" i="18"/>
  <c r="G60" i="18"/>
  <c r="F60" i="18"/>
  <c r="E60" i="18"/>
  <c r="D60" i="18"/>
  <c r="J59" i="18"/>
  <c r="I59" i="18"/>
  <c r="H59" i="18"/>
  <c r="G59" i="18"/>
  <c r="F59" i="18"/>
  <c r="E59" i="18"/>
  <c r="D59" i="18"/>
  <c r="J58" i="18"/>
  <c r="I58" i="18"/>
  <c r="H58" i="18"/>
  <c r="G58" i="18"/>
  <c r="F58" i="18"/>
  <c r="E58" i="18"/>
  <c r="D58" i="18"/>
  <c r="J57" i="18"/>
  <c r="I57" i="18"/>
  <c r="H57" i="18"/>
  <c r="G57" i="18"/>
  <c r="F57" i="18"/>
  <c r="E57" i="18"/>
  <c r="D57" i="18"/>
  <c r="J56" i="18"/>
  <c r="I56" i="18"/>
  <c r="H56" i="18"/>
  <c r="G56" i="18"/>
  <c r="F56" i="18"/>
  <c r="E56" i="18"/>
  <c r="D56" i="18"/>
  <c r="J55" i="18"/>
  <c r="I55" i="18"/>
  <c r="H55" i="18"/>
  <c r="G55" i="18"/>
  <c r="F55" i="18"/>
  <c r="E55" i="18"/>
  <c r="D55" i="18"/>
  <c r="J54" i="18"/>
  <c r="I54" i="18"/>
  <c r="H54" i="18"/>
  <c r="G54" i="18"/>
  <c r="F54" i="18"/>
  <c r="E54" i="18"/>
  <c r="D54" i="18"/>
  <c r="J53" i="18"/>
  <c r="I53" i="18"/>
  <c r="H53" i="18"/>
  <c r="G53" i="18"/>
  <c r="F53" i="18"/>
  <c r="E53" i="18"/>
  <c r="D53" i="18"/>
  <c r="J52" i="18"/>
  <c r="I52" i="18"/>
  <c r="H52" i="18"/>
  <c r="G52" i="18"/>
  <c r="F52" i="18"/>
  <c r="E52" i="18"/>
  <c r="D52" i="18"/>
  <c r="J51" i="18"/>
  <c r="I51" i="18"/>
  <c r="H51" i="18"/>
  <c r="G51" i="18"/>
  <c r="F51" i="18"/>
  <c r="E51" i="18"/>
  <c r="D51" i="18"/>
  <c r="J50" i="18"/>
  <c r="I50" i="18"/>
  <c r="H50" i="18"/>
  <c r="G50" i="18"/>
  <c r="F50" i="18"/>
  <c r="E50" i="18"/>
  <c r="D50" i="18"/>
  <c r="J49" i="18"/>
  <c r="I49" i="18"/>
  <c r="H49" i="18"/>
  <c r="G49" i="18"/>
  <c r="F49" i="18"/>
  <c r="E49" i="18"/>
  <c r="D49" i="18"/>
  <c r="C48" i="18"/>
  <c r="J47" i="18"/>
  <c r="I47" i="18"/>
  <c r="H47" i="18"/>
  <c r="G47" i="18"/>
  <c r="F47" i="18"/>
  <c r="E47" i="18"/>
  <c r="D47" i="18"/>
  <c r="C46" i="18"/>
  <c r="J45" i="18"/>
  <c r="I45" i="18"/>
  <c r="H45" i="18"/>
  <c r="G45" i="18"/>
  <c r="F45" i="18"/>
  <c r="E45" i="18"/>
  <c r="D45" i="18"/>
  <c r="C44" i="18"/>
  <c r="J43" i="18"/>
  <c r="I43" i="18"/>
  <c r="H43" i="18"/>
  <c r="G43" i="18"/>
  <c r="F43" i="18"/>
  <c r="E43" i="18"/>
  <c r="D43" i="18"/>
  <c r="C42" i="18"/>
  <c r="J41" i="18"/>
  <c r="I41" i="18"/>
  <c r="H41" i="18"/>
  <c r="G41" i="18"/>
  <c r="F41" i="18"/>
  <c r="E41" i="18"/>
  <c r="D41" i="18"/>
  <c r="C40" i="18"/>
  <c r="J39" i="18"/>
  <c r="I39" i="18"/>
  <c r="H39" i="18"/>
  <c r="G39" i="18"/>
  <c r="F39" i="18"/>
  <c r="E39" i="18"/>
  <c r="D39" i="18"/>
  <c r="C38" i="18"/>
  <c r="J37" i="18"/>
  <c r="I37" i="18"/>
  <c r="H37" i="18"/>
  <c r="G37" i="18"/>
  <c r="F37" i="18"/>
  <c r="E37" i="18"/>
  <c r="D37" i="18"/>
  <c r="C36" i="18"/>
  <c r="J35" i="18"/>
  <c r="I35" i="18"/>
  <c r="H35" i="18"/>
  <c r="G35" i="18"/>
  <c r="F35" i="18"/>
  <c r="E35" i="18"/>
  <c r="D35" i="18"/>
  <c r="J27" i="18"/>
  <c r="I27" i="18"/>
  <c r="H27" i="18"/>
  <c r="G27" i="18"/>
  <c r="F27" i="18"/>
  <c r="E27" i="18"/>
  <c r="D27" i="18"/>
  <c r="J26" i="18"/>
  <c r="I26" i="18"/>
  <c r="H26" i="18"/>
  <c r="G26" i="18"/>
  <c r="F26" i="18"/>
  <c r="E26" i="18"/>
  <c r="D26" i="18"/>
  <c r="J25" i="18"/>
  <c r="I25" i="18"/>
  <c r="H25" i="18"/>
  <c r="G25" i="18"/>
  <c r="F25" i="18"/>
  <c r="E25" i="18"/>
  <c r="D25" i="18"/>
  <c r="J24" i="18"/>
  <c r="I24" i="18"/>
  <c r="H24" i="18"/>
  <c r="G24" i="18"/>
  <c r="F24" i="18"/>
  <c r="E24" i="18"/>
  <c r="D24" i="18"/>
  <c r="J23" i="18"/>
  <c r="I23" i="18"/>
  <c r="H23" i="18"/>
  <c r="G23" i="18"/>
  <c r="F23" i="18"/>
  <c r="E23" i="18"/>
  <c r="D23" i="18"/>
  <c r="J22" i="18"/>
  <c r="I22" i="18"/>
  <c r="H22" i="18"/>
  <c r="G22" i="18"/>
  <c r="F22" i="18"/>
  <c r="E22" i="18"/>
  <c r="D22" i="18"/>
  <c r="J21" i="18"/>
  <c r="I21" i="18"/>
  <c r="H21" i="18"/>
  <c r="G21" i="18"/>
  <c r="F21" i="18"/>
  <c r="E21" i="18"/>
  <c r="D21" i="18"/>
  <c r="J20" i="18"/>
  <c r="I20" i="18"/>
  <c r="H20" i="18"/>
  <c r="G20" i="18"/>
  <c r="F20" i="18"/>
  <c r="E20" i="18"/>
  <c r="D20" i="18"/>
  <c r="J19" i="18"/>
  <c r="I19" i="18"/>
  <c r="H19" i="18"/>
  <c r="G19" i="18"/>
  <c r="F19" i="18"/>
  <c r="E19" i="18"/>
  <c r="D19" i="18"/>
  <c r="J18" i="18"/>
  <c r="I18" i="18"/>
  <c r="H18" i="18"/>
  <c r="G18" i="18"/>
  <c r="F18" i="18"/>
  <c r="E18" i="18"/>
  <c r="D18" i="18"/>
  <c r="J17" i="18"/>
  <c r="I17" i="18"/>
  <c r="H17" i="18"/>
  <c r="G17" i="18"/>
  <c r="F17" i="18"/>
  <c r="E17" i="18"/>
  <c r="D17" i="18"/>
  <c r="J16" i="18"/>
  <c r="I16" i="18"/>
  <c r="H16" i="18"/>
  <c r="G16" i="18"/>
  <c r="F16" i="18"/>
  <c r="E16" i="18"/>
  <c r="D16" i="18"/>
  <c r="J15" i="18"/>
  <c r="I15" i="18"/>
  <c r="H15" i="18"/>
  <c r="G15" i="18"/>
  <c r="F15" i="18"/>
  <c r="E15" i="18"/>
  <c r="D15" i="18"/>
  <c r="J14" i="18"/>
  <c r="I14" i="18"/>
  <c r="H14" i="18"/>
  <c r="G14" i="18"/>
  <c r="F14" i="18"/>
  <c r="E14" i="18"/>
  <c r="D14" i="18"/>
  <c r="J13" i="18"/>
  <c r="I13" i="18"/>
  <c r="H13" i="18"/>
  <c r="G13" i="18"/>
  <c r="F13" i="18"/>
  <c r="E13" i="18"/>
  <c r="D13" i="18"/>
  <c r="J12" i="18"/>
  <c r="I12" i="18"/>
  <c r="H12" i="18"/>
  <c r="G12" i="18"/>
  <c r="F12" i="18"/>
  <c r="E12" i="18"/>
  <c r="D12" i="18"/>
  <c r="J11" i="18"/>
  <c r="I11" i="18"/>
  <c r="H11" i="18"/>
  <c r="G11" i="18"/>
  <c r="F11" i="18"/>
  <c r="E11" i="18"/>
  <c r="D11" i="18"/>
  <c r="J10" i="18"/>
  <c r="I10" i="18"/>
  <c r="H10" i="18"/>
  <c r="G10" i="18"/>
  <c r="F10" i="18"/>
  <c r="E10" i="18"/>
  <c r="D10" i="18"/>
  <c r="G8" i="17"/>
  <c r="F5" i="17"/>
  <c r="G5" i="17"/>
  <c r="F8" i="17"/>
  <c r="F7" i="17"/>
  <c r="G7" i="17"/>
  <c r="F6" i="17"/>
  <c r="M5" i="17"/>
  <c r="J36" i="18"/>
  <c r="J38" i="18"/>
  <c r="J40" i="18"/>
  <c r="J44" i="18"/>
  <c r="K13" i="18"/>
  <c r="K21" i="18"/>
  <c r="K18" i="20"/>
  <c r="H48" i="20"/>
  <c r="K53" i="20"/>
  <c r="K61" i="20"/>
  <c r="K26" i="20"/>
  <c r="K22" i="20"/>
  <c r="J36" i="20"/>
  <c r="J38" i="20"/>
  <c r="J44" i="20"/>
  <c r="J46" i="20"/>
  <c r="K23" i="20"/>
  <c r="K20" i="20"/>
  <c r="K21" i="20"/>
  <c r="K45" i="20"/>
  <c r="K14" i="20"/>
  <c r="K10" i="20"/>
  <c r="H46" i="19"/>
  <c r="K53" i="19"/>
  <c r="K61" i="19"/>
  <c r="K43" i="18"/>
  <c r="E38" i="18"/>
  <c r="K56" i="18"/>
  <c r="K12" i="20"/>
  <c r="H38" i="20"/>
  <c r="K11" i="20"/>
  <c r="I36" i="20"/>
  <c r="I38" i="20"/>
  <c r="I40" i="20"/>
  <c r="I46" i="20"/>
  <c r="G48" i="20"/>
  <c r="K54" i="20"/>
  <c r="K52" i="20"/>
  <c r="K60" i="20"/>
  <c r="D36" i="20"/>
  <c r="I44" i="20"/>
  <c r="G46" i="20"/>
  <c r="I48" i="20"/>
  <c r="K51" i="20"/>
  <c r="K59" i="20"/>
  <c r="L89" i="20"/>
  <c r="K16" i="20"/>
  <c r="K17" i="20"/>
  <c r="K19" i="20"/>
  <c r="E36" i="20"/>
  <c r="E38" i="20"/>
  <c r="D42" i="20"/>
  <c r="K42" i="20"/>
  <c r="E44" i="20"/>
  <c r="E46" i="20"/>
  <c r="K50" i="20"/>
  <c r="K58" i="20"/>
  <c r="L87" i="20"/>
  <c r="K15" i="20"/>
  <c r="E40" i="20"/>
  <c r="F42" i="20"/>
  <c r="F44" i="20"/>
  <c r="F46" i="20"/>
  <c r="F48" i="20"/>
  <c r="K49" i="20"/>
  <c r="K57" i="20"/>
  <c r="D38" i="20"/>
  <c r="K38" i="20"/>
  <c r="K24" i="20"/>
  <c r="K25" i="20"/>
  <c r="M25" i="20"/>
  <c r="K27" i="20"/>
  <c r="F36" i="20"/>
  <c r="F38" i="20"/>
  <c r="G40" i="20"/>
  <c r="G42" i="20"/>
  <c r="G44" i="20"/>
  <c r="E48" i="20"/>
  <c r="K56" i="20"/>
  <c r="K13" i="20"/>
  <c r="H36" i="20"/>
  <c r="H40" i="20"/>
  <c r="H42" i="20"/>
  <c r="H46" i="20"/>
  <c r="K55" i="20"/>
  <c r="D40" i="20"/>
  <c r="K40" i="20"/>
  <c r="K43" i="20"/>
  <c r="G36" i="20"/>
  <c r="G38" i="20"/>
  <c r="F40" i="20"/>
  <c r="E42" i="20"/>
  <c r="D44" i="20"/>
  <c r="K44" i="20"/>
  <c r="K47" i="20"/>
  <c r="J48" i="20"/>
  <c r="D46" i="20"/>
  <c r="K46" i="20"/>
  <c r="D48" i="20"/>
  <c r="K48" i="20"/>
  <c r="L83" i="20"/>
  <c r="K35" i="20"/>
  <c r="K37" i="20"/>
  <c r="L85" i="20"/>
  <c r="K39" i="20"/>
  <c r="J40" i="20"/>
  <c r="I42" i="20"/>
  <c r="H44" i="20"/>
  <c r="K41" i="20"/>
  <c r="J42" i="20"/>
  <c r="J40" i="19"/>
  <c r="J42" i="19"/>
  <c r="J44" i="19"/>
  <c r="K43" i="19"/>
  <c r="K17" i="19"/>
  <c r="G40" i="19"/>
  <c r="E46" i="19"/>
  <c r="K56" i="19"/>
  <c r="K11" i="19"/>
  <c r="K19" i="19"/>
  <c r="K27" i="19"/>
  <c r="I36" i="19"/>
  <c r="I38" i="19"/>
  <c r="I42" i="19"/>
  <c r="I44" i="19"/>
  <c r="G46" i="19"/>
  <c r="G48" i="19"/>
  <c r="K54" i="19"/>
  <c r="K13" i="19"/>
  <c r="K21" i="19"/>
  <c r="H48" i="19"/>
  <c r="K52" i="19"/>
  <c r="K60" i="19"/>
  <c r="K20" i="19"/>
  <c r="J36" i="19"/>
  <c r="L87" i="19"/>
  <c r="I46" i="19"/>
  <c r="K59" i="19"/>
  <c r="K10" i="19"/>
  <c r="L85" i="19"/>
  <c r="G44" i="19"/>
  <c r="K51" i="19"/>
  <c r="K15" i="19"/>
  <c r="K23" i="19"/>
  <c r="D36" i="19"/>
  <c r="D38" i="19"/>
  <c r="E40" i="19"/>
  <c r="E42" i="19"/>
  <c r="E44" i="19"/>
  <c r="K50" i="19"/>
  <c r="K58" i="19"/>
  <c r="K12" i="19"/>
  <c r="K18" i="19"/>
  <c r="K26" i="19"/>
  <c r="L89" i="19"/>
  <c r="J48" i="19"/>
  <c r="H36" i="19"/>
  <c r="H38" i="19"/>
  <c r="F40" i="19"/>
  <c r="F42" i="19"/>
  <c r="F44" i="19"/>
  <c r="F46" i="19"/>
  <c r="D48" i="19"/>
  <c r="K48" i="19"/>
  <c r="K49" i="19"/>
  <c r="K57" i="19"/>
  <c r="G38" i="19"/>
  <c r="E48" i="19"/>
  <c r="K25" i="19"/>
  <c r="M25" i="19"/>
  <c r="G36" i="19"/>
  <c r="G42" i="19"/>
  <c r="K14" i="19"/>
  <c r="K16" i="19"/>
  <c r="K22" i="19"/>
  <c r="K24" i="19"/>
  <c r="H40" i="19"/>
  <c r="H44" i="19"/>
  <c r="F48" i="19"/>
  <c r="K55" i="19"/>
  <c r="E36" i="19"/>
  <c r="D40" i="19"/>
  <c r="K40" i="19"/>
  <c r="F36" i="19"/>
  <c r="F38" i="19"/>
  <c r="D42" i="19"/>
  <c r="K42" i="19"/>
  <c r="K45" i="19"/>
  <c r="J46" i="19"/>
  <c r="I48" i="19"/>
  <c r="D44" i="19"/>
  <c r="K44" i="19"/>
  <c r="K47" i="19"/>
  <c r="E38" i="19"/>
  <c r="D46" i="19"/>
  <c r="K46" i="19"/>
  <c r="L83" i="19"/>
  <c r="K35" i="19"/>
  <c r="K37" i="19"/>
  <c r="J38" i="19"/>
  <c r="I40" i="19"/>
  <c r="H42" i="19"/>
  <c r="K39" i="19"/>
  <c r="K41" i="19"/>
  <c r="K14" i="18"/>
  <c r="K22" i="18"/>
  <c r="I40" i="18"/>
  <c r="I42" i="18"/>
  <c r="G46" i="18"/>
  <c r="K49" i="18"/>
  <c r="K57" i="18"/>
  <c r="K12" i="18"/>
  <c r="K15" i="18"/>
  <c r="K20" i="18"/>
  <c r="K23" i="18"/>
  <c r="K35" i="18"/>
  <c r="L85" i="18"/>
  <c r="H48" i="18"/>
  <c r="K55" i="18"/>
  <c r="D36" i="18"/>
  <c r="D38" i="18"/>
  <c r="K38" i="18"/>
  <c r="L87" i="18"/>
  <c r="L89" i="18"/>
  <c r="I46" i="18"/>
  <c r="J48" i="18"/>
  <c r="K54" i="18"/>
  <c r="K10" i="18"/>
  <c r="K18" i="18"/>
  <c r="K26" i="18"/>
  <c r="E36" i="18"/>
  <c r="F38" i="18"/>
  <c r="D40" i="18"/>
  <c r="D44" i="18"/>
  <c r="K44" i="18"/>
  <c r="K53" i="18"/>
  <c r="K61" i="18"/>
  <c r="K17" i="18"/>
  <c r="K25" i="18"/>
  <c r="M25" i="18"/>
  <c r="I44" i="18"/>
  <c r="K45" i="18"/>
  <c r="G48" i="18"/>
  <c r="K52" i="18"/>
  <c r="K60" i="18"/>
  <c r="K11" i="18"/>
  <c r="K16" i="18"/>
  <c r="K19" i="18"/>
  <c r="K24" i="18"/>
  <c r="K27" i="18"/>
  <c r="G42" i="18"/>
  <c r="G44" i="18"/>
  <c r="H46" i="18"/>
  <c r="E48" i="18"/>
  <c r="K51" i="18"/>
  <c r="K59" i="18"/>
  <c r="I36" i="18"/>
  <c r="I38" i="18"/>
  <c r="H40" i="18"/>
  <c r="H42" i="18"/>
  <c r="H44" i="18"/>
  <c r="F46" i="18"/>
  <c r="F48" i="18"/>
  <c r="K50" i="18"/>
  <c r="K58" i="18"/>
  <c r="F36" i="18"/>
  <c r="E40" i="18"/>
  <c r="D42" i="18"/>
  <c r="K42" i="18"/>
  <c r="J46" i="18"/>
  <c r="I48" i="18"/>
  <c r="G36" i="18"/>
  <c r="G38" i="18"/>
  <c r="F40" i="18"/>
  <c r="E42" i="18"/>
  <c r="K47" i="18"/>
  <c r="H36" i="18"/>
  <c r="H38" i="18"/>
  <c r="G40" i="18"/>
  <c r="F42" i="18"/>
  <c r="E44" i="18"/>
  <c r="D46" i="18"/>
  <c r="K46" i="18"/>
  <c r="F44" i="18"/>
  <c r="E46" i="18"/>
  <c r="D48" i="18"/>
  <c r="K48" i="18"/>
  <c r="L83" i="18"/>
  <c r="K37" i="18"/>
  <c r="K39" i="18"/>
  <c r="K41" i="18"/>
  <c r="J42" i="18"/>
  <c r="G6" i="17"/>
  <c r="D13" i="2"/>
  <c r="K38" i="19"/>
  <c r="J28" i="20"/>
  <c r="D28" i="20"/>
  <c r="E28" i="20"/>
  <c r="H28" i="18"/>
  <c r="N3" i="2"/>
  <c r="N3" i="20"/>
  <c r="N10" i="20"/>
  <c r="N3" i="19"/>
  <c r="N17" i="19"/>
  <c r="N3" i="18"/>
  <c r="N16" i="18"/>
  <c r="K3" i="20"/>
  <c r="K5" i="20"/>
  <c r="G28" i="20"/>
  <c r="H28" i="20"/>
  <c r="F28" i="20"/>
  <c r="I28" i="20"/>
  <c r="K4" i="20"/>
  <c r="F28" i="19"/>
  <c r="D28" i="19"/>
  <c r="K3" i="19"/>
  <c r="H28" i="19"/>
  <c r="E28" i="19"/>
  <c r="K4" i="19"/>
  <c r="K5" i="19"/>
  <c r="I28" i="19"/>
  <c r="J28" i="19"/>
  <c r="G28" i="19"/>
  <c r="J28" i="18"/>
  <c r="I28" i="18"/>
  <c r="F28" i="18"/>
  <c r="K4" i="18"/>
  <c r="K5" i="18"/>
  <c r="D28" i="18"/>
  <c r="K40" i="18"/>
  <c r="K3" i="18"/>
  <c r="G28" i="18"/>
  <c r="E28" i="18"/>
  <c r="N18" i="19"/>
  <c r="N12" i="19"/>
  <c r="N18" i="18"/>
  <c r="N12" i="20"/>
  <c r="N11" i="20"/>
  <c r="N22" i="19"/>
  <c r="N14" i="19"/>
  <c r="N26" i="19"/>
  <c r="N25" i="19"/>
  <c r="N20" i="19"/>
  <c r="N27" i="19"/>
  <c r="N24" i="19"/>
  <c r="N13" i="19"/>
  <c r="N15" i="18"/>
  <c r="N11" i="18"/>
  <c r="N27" i="20"/>
  <c r="N13" i="20"/>
  <c r="N17" i="20"/>
  <c r="N12" i="18"/>
  <c r="N14" i="18"/>
  <c r="N17" i="18"/>
  <c r="N16" i="20"/>
  <c r="N15" i="20"/>
  <c r="N16" i="19"/>
  <c r="N21" i="19"/>
  <c r="N13" i="18"/>
  <c r="N21" i="18"/>
  <c r="N26" i="18"/>
  <c r="N22" i="18"/>
  <c r="N23" i="18"/>
  <c r="N25" i="18"/>
  <c r="N20" i="18"/>
  <c r="N27" i="18"/>
  <c r="N21" i="20"/>
  <c r="N20" i="20"/>
  <c r="N26" i="20"/>
  <c r="N22" i="20"/>
  <c r="N14" i="20"/>
  <c r="N23" i="20"/>
  <c r="N18" i="20"/>
  <c r="N11" i="19"/>
  <c r="N19" i="19"/>
  <c r="N19" i="18"/>
  <c r="N24" i="18"/>
  <c r="N19" i="20"/>
  <c r="N25" i="20"/>
  <c r="N15" i="19"/>
  <c r="N23" i="19"/>
  <c r="N10" i="19"/>
  <c r="N10" i="18"/>
  <c r="N24" i="20"/>
  <c r="N28" i="20"/>
  <c r="N28" i="18"/>
  <c r="N28" i="19"/>
  <c r="C13" i="1"/>
  <c r="C12" i="1"/>
  <c r="C48" i="2"/>
  <c r="J47" i="2"/>
  <c r="I47" i="2"/>
  <c r="H47" i="2"/>
  <c r="G47" i="2"/>
  <c r="F47" i="2"/>
  <c r="E47" i="2"/>
  <c r="D47" i="2"/>
  <c r="C46" i="2"/>
  <c r="J45" i="2"/>
  <c r="I45" i="2"/>
  <c r="H45" i="2"/>
  <c r="G45" i="2"/>
  <c r="F45" i="2"/>
  <c r="E45" i="2"/>
  <c r="D45" i="2"/>
  <c r="J43" i="2"/>
  <c r="I43" i="2"/>
  <c r="H43" i="2"/>
  <c r="G43" i="2"/>
  <c r="F43" i="2"/>
  <c r="E43" i="2"/>
  <c r="D43" i="2"/>
  <c r="C40" i="2"/>
  <c r="C38" i="2"/>
  <c r="C36" i="2"/>
  <c r="D17" i="2"/>
  <c r="E17" i="2"/>
  <c r="F17" i="2"/>
  <c r="G17" i="2"/>
  <c r="H17" i="2"/>
  <c r="I17" i="2"/>
  <c r="J17" i="2"/>
  <c r="D15" i="2"/>
  <c r="E15" i="2"/>
  <c r="F15" i="2"/>
  <c r="G15" i="2"/>
  <c r="H15" i="2"/>
  <c r="I15" i="2"/>
  <c r="J15" i="2"/>
  <c r="D11" i="2"/>
  <c r="E11" i="2"/>
  <c r="F11" i="2"/>
  <c r="G11" i="2"/>
  <c r="H11" i="2"/>
  <c r="I11" i="2"/>
  <c r="J11" i="2"/>
  <c r="D12" i="2"/>
  <c r="E12" i="2"/>
  <c r="F12" i="2"/>
  <c r="G12" i="2"/>
  <c r="H12" i="2"/>
  <c r="I12" i="2"/>
  <c r="J12" i="2"/>
  <c r="D27" i="2"/>
  <c r="E27" i="2"/>
  <c r="F27" i="2"/>
  <c r="G27" i="2"/>
  <c r="H27" i="2"/>
  <c r="I27" i="2"/>
  <c r="J27" i="2"/>
  <c r="D20" i="2"/>
  <c r="E20" i="2"/>
  <c r="F20" i="2"/>
  <c r="G20" i="2"/>
  <c r="H20" i="2"/>
  <c r="I20" i="2"/>
  <c r="J20" i="2"/>
  <c r="D26" i="2"/>
  <c r="E26" i="2"/>
  <c r="F26" i="2"/>
  <c r="G26" i="2"/>
  <c r="H26" i="2"/>
  <c r="I26" i="2"/>
  <c r="J26" i="2"/>
  <c r="D21" i="2"/>
  <c r="E21" i="2"/>
  <c r="F21" i="2"/>
  <c r="G21" i="2"/>
  <c r="H21" i="2"/>
  <c r="I21" i="2"/>
  <c r="J21" i="2"/>
  <c r="D22" i="2"/>
  <c r="E22" i="2"/>
  <c r="F22" i="2"/>
  <c r="G22" i="2"/>
  <c r="H22" i="2"/>
  <c r="I22" i="2"/>
  <c r="J22" i="2"/>
  <c r="D10" i="2"/>
  <c r="E10" i="2"/>
  <c r="F10" i="2"/>
  <c r="G10" i="2"/>
  <c r="H10" i="2"/>
  <c r="I10" i="2"/>
  <c r="J10" i="2"/>
  <c r="D19" i="2"/>
  <c r="E19" i="2"/>
  <c r="F19" i="2"/>
  <c r="G19" i="2"/>
  <c r="H19" i="2"/>
  <c r="I19" i="2"/>
  <c r="J19" i="2"/>
  <c r="D16" i="2"/>
  <c r="E16" i="2"/>
  <c r="F16" i="2"/>
  <c r="G16" i="2"/>
  <c r="H16" i="2"/>
  <c r="I16" i="2"/>
  <c r="J16" i="2"/>
  <c r="D23" i="2"/>
  <c r="E23" i="2"/>
  <c r="F23" i="2"/>
  <c r="G23" i="2"/>
  <c r="H23" i="2"/>
  <c r="I23" i="2"/>
  <c r="J23" i="2"/>
  <c r="D14" i="2"/>
  <c r="E14" i="2"/>
  <c r="F14" i="2"/>
  <c r="G14" i="2"/>
  <c r="H14" i="2"/>
  <c r="I14" i="2"/>
  <c r="J14" i="2"/>
  <c r="D24" i="2"/>
  <c r="E24" i="2"/>
  <c r="F24" i="2"/>
  <c r="G24" i="2"/>
  <c r="H24" i="2"/>
  <c r="I24" i="2"/>
  <c r="J24" i="2"/>
  <c r="D18" i="2"/>
  <c r="E18" i="2"/>
  <c r="F18" i="2"/>
  <c r="G18" i="2"/>
  <c r="H18" i="2"/>
  <c r="I18" i="2"/>
  <c r="J18" i="2"/>
  <c r="D35" i="2"/>
  <c r="E35" i="2"/>
  <c r="F35" i="2"/>
  <c r="G35" i="2"/>
  <c r="H35" i="2"/>
  <c r="I35" i="2"/>
  <c r="J35" i="2"/>
  <c r="D37" i="2"/>
  <c r="E37" i="2"/>
  <c r="F37" i="2"/>
  <c r="G37" i="2"/>
  <c r="H37" i="2"/>
  <c r="I37" i="2"/>
  <c r="J37" i="2"/>
  <c r="D39" i="2"/>
  <c r="E39" i="2"/>
  <c r="F39" i="2"/>
  <c r="G39" i="2"/>
  <c r="H39" i="2"/>
  <c r="I39" i="2"/>
  <c r="J39" i="2"/>
  <c r="D41" i="2"/>
  <c r="E41" i="2"/>
  <c r="F41" i="2"/>
  <c r="G41" i="2"/>
  <c r="H41" i="2"/>
  <c r="I41" i="2"/>
  <c r="J41" i="2"/>
  <c r="D49" i="2"/>
  <c r="E49" i="2"/>
  <c r="F49" i="2"/>
  <c r="G49" i="2"/>
  <c r="H49" i="2"/>
  <c r="I49" i="2"/>
  <c r="J49" i="2"/>
  <c r="D50" i="2"/>
  <c r="E50" i="2"/>
  <c r="F50" i="2"/>
  <c r="G50" i="2"/>
  <c r="H50" i="2"/>
  <c r="I50" i="2"/>
  <c r="J50" i="2"/>
  <c r="D51" i="2"/>
  <c r="E51" i="2"/>
  <c r="F51" i="2"/>
  <c r="G51" i="2"/>
  <c r="H51" i="2"/>
  <c r="I51" i="2"/>
  <c r="J51" i="2"/>
  <c r="D52" i="2"/>
  <c r="E52" i="2"/>
  <c r="F52" i="2"/>
  <c r="G52" i="2"/>
  <c r="H52" i="2"/>
  <c r="I52" i="2"/>
  <c r="J52" i="2"/>
  <c r="D53" i="2"/>
  <c r="E53" i="2"/>
  <c r="F53" i="2"/>
  <c r="G53" i="2"/>
  <c r="H53" i="2"/>
  <c r="I53" i="2"/>
  <c r="J53" i="2"/>
  <c r="D54" i="2"/>
  <c r="E54" i="2"/>
  <c r="F54" i="2"/>
  <c r="G54" i="2"/>
  <c r="H54" i="2"/>
  <c r="I54" i="2"/>
  <c r="J54" i="2"/>
  <c r="D55" i="2"/>
  <c r="E55" i="2"/>
  <c r="F55" i="2"/>
  <c r="G55" i="2"/>
  <c r="H55" i="2"/>
  <c r="I55" i="2"/>
  <c r="J55" i="2"/>
  <c r="D56" i="2"/>
  <c r="E56" i="2"/>
  <c r="F56" i="2"/>
  <c r="G56" i="2"/>
  <c r="H56" i="2"/>
  <c r="I56" i="2"/>
  <c r="J56" i="2"/>
  <c r="D57" i="2"/>
  <c r="E57" i="2"/>
  <c r="F57" i="2"/>
  <c r="G57" i="2"/>
  <c r="H57" i="2"/>
  <c r="I57" i="2"/>
  <c r="J57" i="2"/>
  <c r="D58" i="2"/>
  <c r="E58" i="2"/>
  <c r="F58" i="2"/>
  <c r="G58" i="2"/>
  <c r="H58" i="2"/>
  <c r="I58" i="2"/>
  <c r="J58" i="2"/>
  <c r="D59" i="2"/>
  <c r="E59" i="2"/>
  <c r="F59" i="2"/>
  <c r="G59" i="2"/>
  <c r="H59" i="2"/>
  <c r="I59" i="2"/>
  <c r="J59" i="2"/>
  <c r="D60" i="2"/>
  <c r="E60" i="2"/>
  <c r="F60" i="2"/>
  <c r="G60" i="2"/>
  <c r="H60" i="2"/>
  <c r="I60" i="2"/>
  <c r="J60" i="2"/>
  <c r="D61" i="2"/>
  <c r="E61" i="2"/>
  <c r="F61" i="2"/>
  <c r="G61" i="2"/>
  <c r="H61" i="2"/>
  <c r="I61" i="2"/>
  <c r="J61" i="2"/>
  <c r="E25" i="2"/>
  <c r="F25" i="2"/>
  <c r="G25" i="2"/>
  <c r="H25" i="2"/>
  <c r="I25" i="2"/>
  <c r="J25" i="2"/>
  <c r="D25" i="2"/>
  <c r="E13" i="2"/>
  <c r="F13" i="2"/>
  <c r="G13" i="2"/>
  <c r="H13" i="2"/>
  <c r="I13" i="2"/>
  <c r="J13" i="2"/>
  <c r="D15" i="1"/>
  <c r="D16" i="1"/>
  <c r="E15" i="1"/>
  <c r="E16" i="1"/>
  <c r="F15" i="1"/>
  <c r="F16" i="1"/>
  <c r="G15" i="1"/>
  <c r="G16" i="1"/>
  <c r="H15" i="1"/>
  <c r="I15" i="1"/>
  <c r="I16" i="1"/>
  <c r="C15" i="1"/>
  <c r="C16" i="1"/>
  <c r="D23" i="1"/>
  <c r="D25" i="1"/>
  <c r="D27" i="1"/>
  <c r="E23" i="1"/>
  <c r="E25" i="1"/>
  <c r="E27" i="1"/>
  <c r="F23" i="1"/>
  <c r="F25" i="1"/>
  <c r="F27" i="1"/>
  <c r="F36" i="1"/>
  <c r="G23" i="1"/>
  <c r="G25" i="1"/>
  <c r="G27" i="1"/>
  <c r="G36" i="1"/>
  <c r="H23" i="1"/>
  <c r="I23" i="1"/>
  <c r="I25" i="1"/>
  <c r="I27" i="1"/>
  <c r="H25" i="1"/>
  <c r="H27" i="1"/>
  <c r="D26" i="1"/>
  <c r="E26" i="1"/>
  <c r="F26" i="1"/>
  <c r="G26" i="1"/>
  <c r="H26" i="1"/>
  <c r="I26" i="1"/>
  <c r="D29" i="1"/>
  <c r="E29" i="1"/>
  <c r="F29" i="1"/>
  <c r="F31" i="1"/>
  <c r="F32" i="1"/>
  <c r="F33" i="1"/>
  <c r="G29" i="1"/>
  <c r="G31" i="1"/>
  <c r="G32" i="1"/>
  <c r="G33" i="1"/>
  <c r="H29" i="1"/>
  <c r="I29" i="1"/>
  <c r="D31" i="1"/>
  <c r="D32" i="1"/>
  <c r="D33" i="1"/>
  <c r="E31" i="1"/>
  <c r="E32" i="1"/>
  <c r="E33" i="1"/>
  <c r="H31" i="1"/>
  <c r="H32" i="1"/>
  <c r="H33" i="1"/>
  <c r="I31" i="1"/>
  <c r="I32" i="1"/>
  <c r="I33" i="1"/>
  <c r="D34" i="1"/>
  <c r="D35" i="1"/>
  <c r="E34" i="1"/>
  <c r="E35" i="1"/>
  <c r="F34" i="1"/>
  <c r="G34" i="1"/>
  <c r="H34" i="1"/>
  <c r="I34" i="1"/>
  <c r="D4" i="1"/>
  <c r="D6" i="1"/>
  <c r="D8" i="1"/>
  <c r="E4" i="1"/>
  <c r="E6" i="1"/>
  <c r="E8" i="1"/>
  <c r="F4" i="1"/>
  <c r="F6" i="1"/>
  <c r="F8" i="1"/>
  <c r="G4" i="1"/>
  <c r="G6" i="1"/>
  <c r="G8" i="1"/>
  <c r="H4" i="1"/>
  <c r="H6" i="1"/>
  <c r="H8" i="1"/>
  <c r="I4" i="1"/>
  <c r="I6" i="1"/>
  <c r="I8" i="1"/>
  <c r="D7" i="1"/>
  <c r="E7" i="1"/>
  <c r="F7" i="1"/>
  <c r="G7" i="1"/>
  <c r="H7" i="1"/>
  <c r="I7" i="1"/>
  <c r="D10" i="1"/>
  <c r="E10" i="1"/>
  <c r="F10" i="1"/>
  <c r="G10" i="1"/>
  <c r="G12" i="1"/>
  <c r="G13" i="1"/>
  <c r="G14" i="1"/>
  <c r="H10" i="1"/>
  <c r="I10" i="1"/>
  <c r="D12" i="1"/>
  <c r="E12" i="1"/>
  <c r="E13" i="1"/>
  <c r="E14" i="1"/>
  <c r="F12" i="1"/>
  <c r="H12" i="1"/>
  <c r="I12" i="1"/>
  <c r="I13" i="1"/>
  <c r="I14" i="1"/>
  <c r="D13" i="1"/>
  <c r="D14" i="1"/>
  <c r="F13" i="1"/>
  <c r="H13" i="1"/>
  <c r="H14" i="1"/>
  <c r="H16" i="1"/>
  <c r="F14" i="1"/>
  <c r="C34" i="1"/>
  <c r="C26" i="1"/>
  <c r="C23" i="1"/>
  <c r="H35" i="1"/>
  <c r="G35" i="1"/>
  <c r="F35" i="1"/>
  <c r="I35" i="1"/>
  <c r="C29" i="1"/>
  <c r="C31" i="1"/>
  <c r="C32" i="1"/>
  <c r="C33" i="1"/>
  <c r="C35" i="1"/>
  <c r="C25" i="1"/>
  <c r="C7" i="1"/>
  <c r="C4" i="1"/>
  <c r="C27" i="1"/>
  <c r="C10" i="1"/>
  <c r="C14" i="1"/>
  <c r="C6" i="1"/>
  <c r="C8" i="1"/>
  <c r="C36" i="1"/>
  <c r="E36" i="1"/>
  <c r="D36" i="1"/>
  <c r="H36" i="1"/>
  <c r="I36" i="1"/>
  <c r="G17" i="1"/>
  <c r="I17" i="1"/>
  <c r="K19" i="2"/>
  <c r="N19" i="2"/>
  <c r="K18" i="2"/>
  <c r="N18" i="2"/>
  <c r="J44" i="2"/>
  <c r="J46" i="2"/>
  <c r="K47" i="2"/>
  <c r="G42" i="2"/>
  <c r="K13" i="2"/>
  <c r="N13" i="2"/>
  <c r="K55" i="2"/>
  <c r="K24" i="2"/>
  <c r="N24" i="2"/>
  <c r="K23" i="2"/>
  <c r="N23" i="2"/>
  <c r="K10" i="2"/>
  <c r="N10" i="2"/>
  <c r="K22" i="2"/>
  <c r="N22" i="2"/>
  <c r="K26" i="2"/>
  <c r="N26" i="2"/>
  <c r="K15" i="2"/>
  <c r="N15" i="2"/>
  <c r="K17" i="2"/>
  <c r="N17" i="2"/>
  <c r="F38" i="2"/>
  <c r="K61" i="2"/>
  <c r="K53" i="2"/>
  <c r="L89" i="2"/>
  <c r="K35" i="2"/>
  <c r="K14" i="2"/>
  <c r="N14" i="2"/>
  <c r="K21" i="2"/>
  <c r="N21" i="2"/>
  <c r="D40" i="2"/>
  <c r="K58" i="2"/>
  <c r="E36" i="2"/>
  <c r="D48" i="2"/>
  <c r="K48" i="2"/>
  <c r="J38" i="2"/>
  <c r="K56" i="2"/>
  <c r="K52" i="2"/>
  <c r="K49" i="2"/>
  <c r="K16" i="2"/>
  <c r="N16" i="2"/>
  <c r="K20" i="2"/>
  <c r="N20" i="2"/>
  <c r="K27" i="2"/>
  <c r="N27" i="2"/>
  <c r="K12" i="2"/>
  <c r="N12" i="2"/>
  <c r="K11" i="2"/>
  <c r="N11" i="2"/>
  <c r="K45" i="2"/>
  <c r="F44" i="2"/>
  <c r="F46" i="2"/>
  <c r="K25" i="2"/>
  <c r="K57" i="2"/>
  <c r="K51" i="2"/>
  <c r="G38" i="2"/>
  <c r="E44" i="2"/>
  <c r="G44" i="2"/>
  <c r="K50" i="2"/>
  <c r="K60" i="2"/>
  <c r="K59" i="2"/>
  <c r="K54" i="2"/>
  <c r="D42" i="2"/>
  <c r="K42" i="2"/>
  <c r="I38" i="2"/>
  <c r="L85" i="2"/>
  <c r="K37" i="2"/>
  <c r="J40" i="2"/>
  <c r="J36" i="2"/>
  <c r="F42" i="2"/>
  <c r="H38" i="2"/>
  <c r="E40" i="2"/>
  <c r="D36" i="2"/>
  <c r="H36" i="2"/>
  <c r="K43" i="2"/>
  <c r="I44" i="2"/>
  <c r="G48" i="2"/>
  <c r="J48" i="2"/>
  <c r="F48" i="2"/>
  <c r="H48" i="2"/>
  <c r="K39" i="2"/>
  <c r="D38" i="2"/>
  <c r="H42" i="2"/>
  <c r="F36" i="2"/>
  <c r="D44" i="2"/>
  <c r="K44" i="2"/>
  <c r="G46" i="2"/>
  <c r="E48" i="2"/>
  <c r="H46" i="2"/>
  <c r="F40" i="2"/>
  <c r="J42" i="2"/>
  <c r="G36" i="2"/>
  <c r="H44" i="2"/>
  <c r="E46" i="2"/>
  <c r="I48" i="2"/>
  <c r="G40" i="2"/>
  <c r="I42" i="2"/>
  <c r="I36" i="2"/>
  <c r="I46" i="2"/>
  <c r="K41" i="2"/>
  <c r="L87" i="2"/>
  <c r="L83" i="2"/>
  <c r="E38" i="2"/>
  <c r="H40" i="2"/>
  <c r="E42" i="2"/>
  <c r="D46" i="2"/>
  <c r="K46" i="2"/>
  <c r="I40" i="2"/>
  <c r="E17" i="1"/>
  <c r="F17" i="1"/>
  <c r="C17" i="1"/>
  <c r="D17" i="1"/>
  <c r="H17" i="1"/>
  <c r="M25" i="2"/>
  <c r="N25" i="2"/>
  <c r="N28" i="2"/>
  <c r="E28" i="2"/>
  <c r="F28" i="2"/>
  <c r="G28" i="2"/>
  <c r="H28" i="2"/>
  <c r="I28" i="2"/>
  <c r="J28" i="2"/>
  <c r="D28" i="2"/>
  <c r="K5" i="2"/>
  <c r="K3" i="2"/>
  <c r="K40" i="2"/>
  <c r="K4" i="2"/>
  <c r="K38" i="2"/>
</calcChain>
</file>

<file path=xl/sharedStrings.xml><?xml version="1.0" encoding="utf-8"?>
<sst xmlns="http://schemas.openxmlformats.org/spreadsheetml/2006/main" count="276" uniqueCount="95">
  <si>
    <t>Rainier</t>
  </si>
  <si>
    <t>Bus Stop Spacing (mi)</t>
  </si>
  <si>
    <t>Inputs</t>
  </si>
  <si>
    <t>Average Passenger Trip Length (mi)</t>
  </si>
  <si>
    <t>Acceleration+Deceleration+Door Opening/Closing Time (sec)</t>
  </si>
  <si>
    <t>Avg stops/passenger trip</t>
  </si>
  <si>
    <t>Walking weight factor</t>
  </si>
  <si>
    <t>Acceleration+Deceleration+Door Opening/Closing Time</t>
  </si>
  <si>
    <t>Total lost time serving bus stops</t>
  </si>
  <si>
    <t>Average walking distance to station (1/4 distance between stations) (mi)</t>
  </si>
  <si>
    <t>Walking speed (Mph)</t>
  </si>
  <si>
    <t>Average time walking to bus stop (s)</t>
  </si>
  <si>
    <t>Average time walking from bus stop (s)</t>
  </si>
  <si>
    <t>Average total walking time (s)</t>
  </si>
  <si>
    <t>Total walking time with weight</t>
  </si>
  <si>
    <t>Total walking + lost time serving bus stops</t>
  </si>
  <si>
    <t>Renton - Kent - Auburn</t>
  </si>
  <si>
    <t>Summary</t>
  </si>
  <si>
    <t>http://onlinepubs.trb.org/onlinepubs/tcrp/docs/tcrp100/Part4.pdf</t>
  </si>
  <si>
    <t>Mean</t>
  </si>
  <si>
    <t>Median</t>
  </si>
  <si>
    <t>Walking Speed</t>
  </si>
  <si>
    <t>Mode</t>
  </si>
  <si>
    <t>Number</t>
  </si>
  <si>
    <t>Route</t>
  </si>
  <si>
    <t>Renton-Kent-Auburn</t>
  </si>
  <si>
    <t>Bothell - UW - Lake City</t>
  </si>
  <si>
    <t>RR 40</t>
  </si>
  <si>
    <t>Lake City - Seattle CBD - Ballard</t>
  </si>
  <si>
    <t>Ballard - Children's Hospital - Wallingford</t>
  </si>
  <si>
    <t>A</t>
  </si>
  <si>
    <t>B</t>
  </si>
  <si>
    <t>C</t>
  </si>
  <si>
    <t>D</t>
  </si>
  <si>
    <t>E</t>
  </si>
  <si>
    <t>F</t>
  </si>
  <si>
    <t>Min</t>
  </si>
  <si>
    <t>SLU - Northgate - Eastlake</t>
  </si>
  <si>
    <t>Totem Lake - Eastgate - Bellevue</t>
  </si>
  <si>
    <t>Overlake - Renton - Newcastle</t>
  </si>
  <si>
    <t>RR 120</t>
  </si>
  <si>
    <t>Highline CC - Green River CC - Kent</t>
  </si>
  <si>
    <t>Twin Lakes - Green River CC - Federal Way</t>
  </si>
  <si>
    <t>Dwell: how long the front door is open at a stop</t>
  </si>
  <si>
    <t>Number of Routes</t>
  </si>
  <si>
    <t>Optimal
Spacing</t>
  </si>
  <si>
    <t>10 seconds for a bus to start up and travel its own length to clear a stop</t>
  </si>
  <si>
    <t>Optimal</t>
  </si>
  <si>
    <t>Spacing</t>
  </si>
  <si>
    <t>60 seconds: downtown stop</t>
  </si>
  <si>
    <t>30 seconds: major outlying stop</t>
  </si>
  <si>
    <t>15 seconds: typical outlying stop</t>
  </si>
  <si>
    <t>Route length</t>
  </si>
  <si>
    <t>Time Period</t>
  </si>
  <si>
    <t>Headway</t>
  </si>
  <si>
    <t>Trips per day</t>
  </si>
  <si>
    <t>Trips per year</t>
  </si>
  <si>
    <t>Peak</t>
  </si>
  <si>
    <t>Off-Peak</t>
  </si>
  <si>
    <t>Night</t>
  </si>
  <si>
    <t>Hours per day</t>
  </si>
  <si>
    <t>Weekday</t>
  </si>
  <si>
    <t>days per year</t>
  </si>
  <si>
    <t xml:space="preserve">Weekend </t>
  </si>
  <si>
    <t>Days per year</t>
  </si>
  <si>
    <t>Weekend</t>
  </si>
  <si>
    <t>Off-Peak period is from 9 a.m.-3 p.m. on weekdays and 5 am-7 pm on weekends.</t>
  </si>
  <si>
    <t>Night period is from 7 p.m.-5 a.m. every day of the week</t>
  </si>
  <si>
    <t>Hrs per day</t>
  </si>
  <si>
    <t>Est RR Trips per year</t>
  </si>
  <si>
    <t>Trips</t>
  </si>
  <si>
    <t>Delay per year (hrs)</t>
  </si>
  <si>
    <t>Pg 9 of service guidelines</t>
  </si>
  <si>
    <t>Off-peak: 15 minutes or more frequent</t>
  </si>
  <si>
    <t>Peak: more frequent than 15 minutes</t>
  </si>
  <si>
    <t>Accel. +Decel. +Door Opening/Closing Time (sec)</t>
  </si>
  <si>
    <t xml:space="preserve">Time period: </t>
  </si>
  <si>
    <t>Peak period is from 5-9 a.m. and 3-7 p.m. on weekdays.</t>
  </si>
  <si>
    <t>Assume 7 to midnight to estimate trips</t>
  </si>
  <si>
    <t>Weekend - assume 5am to 7pm</t>
  </si>
  <si>
    <t>Weedkay Trips</t>
  </si>
  <si>
    <t>Estimated annual trips for a RapidRide line</t>
  </si>
  <si>
    <t>Total - One Way</t>
  </si>
  <si>
    <t>Total Walking Time (Weighted) 
+ On Bus Time Waiting at Stops</t>
  </si>
  <si>
    <t>Passgr. Trip Length</t>
  </si>
  <si>
    <t>Burien TC - Seattle CBD - Westwood Vill.</t>
  </si>
  <si>
    <t>Madison Valley-Seattle CBD-E.Madison St.</t>
  </si>
  <si>
    <t>Ranier - Mount Baker</t>
  </si>
  <si>
    <t>Avg.</t>
  </si>
  <si>
    <t>See Est. Annual RR Trips sheet for daily trip assumptions.</t>
  </si>
  <si>
    <t>(per route)</t>
  </si>
  <si>
    <t>Reference:</t>
  </si>
  <si>
    <t>*On-bus delay for 'optimal stop spacing' compared to to 0.5 mile stop spacing</t>
  </si>
  <si>
    <t>Total -Two Way</t>
  </si>
  <si>
    <t>Delay per Trip (sec)*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</si>
</sst>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4" xfId="0" applyFont="1" applyBorder="1"/>
    <xf numFmtId="0" fontId="0" fillId="0" borderId="5" xfId="0" applyBorder="1"/>
    <xf numFmtId="1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2" fillId="0" borderId="9" xfId="0" applyFont="1" applyBorder="1"/>
    <xf numFmtId="0" fontId="2" fillId="0" borderId="10" xfId="0" applyFont="1" applyBorder="1"/>
    <xf numFmtId="0" fontId="2" fillId="0" borderId="12" xfId="0" applyFont="1" applyBorder="1"/>
    <xf numFmtId="0" fontId="1" fillId="0" borderId="11" xfId="0" applyFont="1" applyBorder="1"/>
    <xf numFmtId="0" fontId="0" fillId="0" borderId="13" xfId="0" applyBorder="1"/>
    <xf numFmtId="165" fontId="0" fillId="0" borderId="3" xfId="0" applyNumberFormat="1" applyBorder="1"/>
    <xf numFmtId="2" fontId="0" fillId="0" borderId="3" xfId="0" applyNumberFormat="1" applyBorder="1"/>
    <xf numFmtId="1" fontId="0" fillId="0" borderId="3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65" fontId="0" fillId="0" borderId="1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0" fillId="0" borderId="0" xfId="0" applyNumberFormat="1"/>
    <xf numFmtId="0" fontId="4" fillId="0" borderId="0" xfId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/>
    <xf numFmtId="0" fontId="7" fillId="0" borderId="6" xfId="0" applyFont="1" applyBorder="1"/>
    <xf numFmtId="0" fontId="0" fillId="0" borderId="17" xfId="0" applyBorder="1"/>
    <xf numFmtId="0" fontId="0" fillId="0" borderId="17" xfId="0" applyBorder="1" applyAlignment="1">
      <alignment wrapText="1"/>
    </xf>
    <xf numFmtId="0" fontId="2" fillId="0" borderId="0" xfId="0" applyFont="1" applyFill="1" applyBorder="1"/>
    <xf numFmtId="0" fontId="0" fillId="0" borderId="18" xfId="0" applyFill="1" applyBorder="1"/>
    <xf numFmtId="0" fontId="7" fillId="0" borderId="1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0" xfId="0" applyFont="1"/>
    <xf numFmtId="0" fontId="5" fillId="0" borderId="17" xfId="0" applyFont="1" applyBorder="1"/>
    <xf numFmtId="0" fontId="1" fillId="0" borderId="0" xfId="0" applyFont="1" applyAlignment="1">
      <alignment horizontal="right"/>
    </xf>
    <xf numFmtId="0" fontId="0" fillId="0" borderId="19" xfId="0" applyBorder="1"/>
    <xf numFmtId="0" fontId="0" fillId="0" borderId="19" xfId="0" applyFont="1" applyBorder="1" applyAlignment="1">
      <alignment horizontal="right"/>
    </xf>
    <xf numFmtId="0" fontId="8" fillId="2" borderId="14" xfId="0" applyFont="1" applyFill="1" applyBorder="1"/>
    <xf numFmtId="0" fontId="9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6" fontId="10" fillId="0" borderId="1" xfId="2" applyNumberFormat="1" applyFont="1" applyBorder="1"/>
    <xf numFmtId="165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/>
    <xf numFmtId="166" fontId="7" fillId="0" borderId="0" xfId="2" applyNumberFormat="1" applyFont="1"/>
    <xf numFmtId="0" fontId="1" fillId="2" borderId="20" xfId="0" applyFont="1" applyFill="1" applyBorder="1"/>
    <xf numFmtId="0" fontId="1" fillId="2" borderId="15" xfId="0" applyFont="1" applyFill="1" applyBorder="1" applyAlignment="1">
      <alignment horizontal="centerContinuous" wrapText="1"/>
    </xf>
    <xf numFmtId="0" fontId="1" fillId="2" borderId="16" xfId="0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center" wrapText="1"/>
    </xf>
    <xf numFmtId="1" fontId="7" fillId="0" borderId="14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165" fontId="13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5" fillId="0" borderId="0" xfId="0" applyFont="1" applyBorder="1"/>
    <xf numFmtId="0" fontId="7" fillId="0" borderId="0" xfId="0" quotePrefix="1" applyFont="1"/>
    <xf numFmtId="0" fontId="7" fillId="0" borderId="0" xfId="0" applyFont="1"/>
    <xf numFmtId="2" fontId="7" fillId="0" borderId="1" xfId="0" applyNumberFormat="1" applyFont="1" applyBorder="1"/>
    <xf numFmtId="0" fontId="1" fillId="0" borderId="17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5" fillId="0" borderId="0" xfId="0" applyFont="1"/>
    <xf numFmtId="0" fontId="11" fillId="0" borderId="0" xfId="0" applyFont="1"/>
    <xf numFmtId="0" fontId="12" fillId="0" borderId="0" xfId="0" applyFont="1"/>
    <xf numFmtId="0" fontId="17" fillId="0" borderId="0" xfId="1" applyFont="1"/>
    <xf numFmtId="0" fontId="7" fillId="3" borderId="1" xfId="0" applyFont="1" applyFill="1" applyBorder="1"/>
    <xf numFmtId="1" fontId="7" fillId="0" borderId="6" xfId="0" applyNumberFormat="1" applyFont="1" applyFill="1" applyBorder="1" applyAlignment="1">
      <alignment horizontal="right" indent="1"/>
    </xf>
    <xf numFmtId="1" fontId="7" fillId="0" borderId="1" xfId="0" applyNumberFormat="1" applyFont="1" applyFill="1" applyBorder="1" applyAlignment="1">
      <alignment horizontal="right" indent="1"/>
    </xf>
    <xf numFmtId="1" fontId="10" fillId="0" borderId="6" xfId="1" applyNumberFormat="1" applyFont="1" applyBorder="1" applyAlignment="1">
      <alignment horizontal="right" indent="1"/>
    </xf>
    <xf numFmtId="1" fontId="10" fillId="0" borderId="1" xfId="1" applyNumberFormat="1" applyFont="1" applyBorder="1" applyAlignment="1">
      <alignment horizontal="right" indent="1"/>
    </xf>
    <xf numFmtId="166" fontId="7" fillId="0" borderId="1" xfId="2" applyNumberFormat="1" applyFont="1" applyBorder="1"/>
    <xf numFmtId="1" fontId="9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</cellXfs>
  <cellStyles count="3">
    <cellStyle name="Comma" xfId="2" builtinId="3"/>
    <cellStyle name="Hyperlink" xfId="1" builtinId="8"/>
    <cellStyle name="Normal" xfId="0" builtinId="0"/>
  </cellStyles>
  <dxfs count="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Travel Time for 2-5 Mile Trip Lengths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'1) 15,1.5'!$C$35</c:f>
              <c:strCache>
                <c:ptCount val="1"/>
                <c:pt idx="0">
                  <c:v>2.0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'1) 15,1.5'!$D$34:$J$34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'1) 15,1.5'!$D$35:$J$35</c:f>
              <c:numCache>
                <c:formatCode>0</c:formatCode>
                <c:ptCount val="7"/>
                <c:pt idx="0">
                  <c:v>330.0</c:v>
                </c:pt>
                <c:pt idx="1">
                  <c:v>345.0</c:v>
                </c:pt>
                <c:pt idx="2">
                  <c:v>369.9999999999999</c:v>
                </c:pt>
                <c:pt idx="3">
                  <c:v>400.7142857142857</c:v>
                </c:pt>
                <c:pt idx="4">
                  <c:v>435.0</c:v>
                </c:pt>
                <c:pt idx="5">
                  <c:v>471.6666666666666</c:v>
                </c:pt>
                <c:pt idx="6">
                  <c:v>510.0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BA-452F-BE59-E97A6060E0A1}"/>
            </c:ext>
          </c:extLst>
        </c:ser>
        <c:ser>
          <c:idx val="1"/>
          <c:order val="1"/>
          <c:tx>
            <c:strRef>
              <c:f>'1) 15,1.5'!$C$36</c:f>
              <c:strCache>
                <c:ptCount val="1"/>
                <c:pt idx="0">
                  <c:v>Min2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'1) 15,1.5'!$D$34:$J$34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'1) 15,1.5'!$D$36:$J$36</c:f>
              <c:numCache>
                <c:formatCode>0</c:formatCode>
                <c:ptCount val="7"/>
                <c:pt idx="0">
                  <c:v>330.0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BA-452F-BE59-E97A6060E0A1}"/>
            </c:ext>
          </c:extLst>
        </c:ser>
        <c:ser>
          <c:idx val="2"/>
          <c:order val="2"/>
          <c:tx>
            <c:strRef>
              <c:f>'1) 15,1.5'!$C$37</c:f>
              <c:strCache>
                <c:ptCount val="1"/>
                <c:pt idx="0">
                  <c:v>3.0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'1) 15,1.5'!$D$34:$J$34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'1) 15,1.5'!$D$37:$J$37</c:f>
              <c:numCache>
                <c:formatCode>0</c:formatCode>
                <c:ptCount val="7"/>
                <c:pt idx="0">
                  <c:v>405.0</c:v>
                </c:pt>
                <c:pt idx="1">
                  <c:v>405.0</c:v>
                </c:pt>
                <c:pt idx="2">
                  <c:v>419.9999999999999</c:v>
                </c:pt>
                <c:pt idx="3">
                  <c:v>443.5714285714285</c:v>
                </c:pt>
                <c:pt idx="4">
                  <c:v>472.5</c:v>
                </c:pt>
                <c:pt idx="5">
                  <c:v>505.0</c:v>
                </c:pt>
                <c:pt idx="6">
                  <c:v>540.0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BA-452F-BE59-E97A6060E0A1}"/>
            </c:ext>
          </c:extLst>
        </c:ser>
        <c:ser>
          <c:idx val="3"/>
          <c:order val="3"/>
          <c:tx>
            <c:strRef>
              <c:f>'1) 15,1.5'!$C$38</c:f>
              <c:strCache>
                <c:ptCount val="1"/>
                <c:pt idx="0">
                  <c:v>Min3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'1) 15,1.5'!$D$34:$J$34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'1) 15,1.5'!$D$38:$J$38</c:f>
              <c:numCache>
                <c:formatCode>0</c:formatCode>
                <c:ptCount val="7"/>
                <c:pt idx="0">
                  <c:v>405.0</c:v>
                </c:pt>
                <c:pt idx="1">
                  <c:v>405.0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BA-452F-BE59-E97A6060E0A1}"/>
            </c:ext>
          </c:extLst>
        </c:ser>
        <c:ser>
          <c:idx val="4"/>
          <c:order val="4"/>
          <c:tx>
            <c:strRef>
              <c:f>'1) 15,1.5'!$C$39</c:f>
              <c:strCache>
                <c:ptCount val="1"/>
                <c:pt idx="0">
                  <c:v>4.0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'1) 15,1.5'!$D$34:$J$34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'1) 15,1.5'!$D$39:$J$39</c:f>
              <c:numCache>
                <c:formatCode>0</c:formatCode>
                <c:ptCount val="7"/>
                <c:pt idx="0">
                  <c:v>480.0</c:v>
                </c:pt>
                <c:pt idx="1">
                  <c:v>465.0</c:v>
                </c:pt>
                <c:pt idx="2">
                  <c:v>469.9999999999999</c:v>
                </c:pt>
                <c:pt idx="3">
                  <c:v>486.4285714285714</c:v>
                </c:pt>
                <c:pt idx="4">
                  <c:v>510.0</c:v>
                </c:pt>
                <c:pt idx="5">
                  <c:v>538.3333333333333</c:v>
                </c:pt>
                <c:pt idx="6">
                  <c:v>570.0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BA-452F-BE59-E97A6060E0A1}"/>
            </c:ext>
          </c:extLst>
        </c:ser>
        <c:ser>
          <c:idx val="5"/>
          <c:order val="5"/>
          <c:tx>
            <c:strRef>
              <c:f>'1) 15,1.5'!$C$40</c:f>
              <c:strCache>
                <c:ptCount val="1"/>
                <c:pt idx="0">
                  <c:v>Min4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'1) 15,1.5'!$D$34:$J$34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'1) 15,1.5'!$D$40:$J$40</c:f>
              <c:numCache>
                <c:formatCode>0</c:formatCode>
                <c:ptCount val="7"/>
                <c:pt idx="0">
                  <c:v>#N/A</c:v>
                </c:pt>
                <c:pt idx="1">
                  <c:v>465.0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BA-452F-BE59-E97A6060E0A1}"/>
            </c:ext>
          </c:extLst>
        </c:ser>
        <c:ser>
          <c:idx val="6"/>
          <c:order val="6"/>
          <c:tx>
            <c:strRef>
              <c:f>'1) 15,1.5'!$C$41</c:f>
              <c:strCache>
                <c:ptCount val="1"/>
                <c:pt idx="0">
                  <c:v>5.0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'1) 15,1.5'!$D$34:$J$34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'1) 15,1.5'!$D$41:$J$41</c:f>
              <c:numCache>
                <c:formatCode>0</c:formatCode>
                <c:ptCount val="7"/>
                <c:pt idx="0">
                  <c:v>555.0</c:v>
                </c:pt>
                <c:pt idx="1">
                  <c:v>525.0</c:v>
                </c:pt>
                <c:pt idx="2">
                  <c:v>520.0</c:v>
                </c:pt>
                <c:pt idx="3">
                  <c:v>529.2857142857142</c:v>
                </c:pt>
                <c:pt idx="4">
                  <c:v>547.5</c:v>
                </c:pt>
                <c:pt idx="5">
                  <c:v>571.6666666666666</c:v>
                </c:pt>
                <c:pt idx="6">
                  <c:v>600.0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BA-452F-BE59-E97A6060E0A1}"/>
            </c:ext>
          </c:extLst>
        </c:ser>
        <c:ser>
          <c:idx val="7"/>
          <c:order val="7"/>
          <c:tx>
            <c:strRef>
              <c:f>'1) 15,1.5'!$C$42</c:f>
              <c:strCache>
                <c:ptCount val="1"/>
                <c:pt idx="0">
                  <c:v>Min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'1) 15,1.5'!$D$34:$J$34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'1) 15,1.5'!$D$42:$J$42</c:f>
              <c:numCache>
                <c:formatCode>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520.0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BA-452F-BE59-E97A6060E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5755760"/>
        <c:axId val="-2085747920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'1) 15,1.5'!$C$43</c15:sqref>
                        </c15:formulaRef>
                      </c:ext>
                    </c:extLst>
                    <c:strCache>
                      <c:ptCount val="1"/>
                      <c:pt idx="0">
                        <c:v>5.0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'1) 15,1.5'!$D$34:$J$34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'1) 15,1.5'!$D$43:$J$43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555.0</c:v>
                      </c:pt>
                      <c:pt idx="1">
                        <c:v>525.0</c:v>
                      </c:pt>
                      <c:pt idx="2">
                        <c:v>520.0</c:v>
                      </c:pt>
                      <c:pt idx="3">
                        <c:v>529.2857142857142</c:v>
                      </c:pt>
                      <c:pt idx="4">
                        <c:v>547.5</c:v>
                      </c:pt>
                      <c:pt idx="5">
                        <c:v>571.6666666666666</c:v>
                      </c:pt>
                      <c:pt idx="6">
                        <c:v>600.0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3FBA-452F-BE59-E97A6060E0A1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15,1.5'!$C$44</c15:sqref>
                        </c15:formulaRef>
                      </c:ext>
                    </c:extLst>
                    <c:strCache>
                      <c:ptCount val="1"/>
                      <c:pt idx="0">
                        <c:v>Min5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15,1.5'!$D$44:$J$44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520.0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3FBA-452F-BE59-E97A6060E0A1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15,1.5'!$C$45</c15:sqref>
                        </c15:formulaRef>
                      </c:ext>
                    </c:extLst>
                    <c:strCache>
                      <c:ptCount val="1"/>
                      <c:pt idx="0">
                        <c:v>6.0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15,1.5'!$D$45:$J$45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630.0</c:v>
                      </c:pt>
                      <c:pt idx="1">
                        <c:v>585.0</c:v>
                      </c:pt>
                      <c:pt idx="2">
                        <c:v>570.0</c:v>
                      </c:pt>
                      <c:pt idx="3">
                        <c:v>572.1428571428571</c:v>
                      </c:pt>
                      <c:pt idx="4">
                        <c:v>585.0</c:v>
                      </c:pt>
                      <c:pt idx="5">
                        <c:v>605.0</c:v>
                      </c:pt>
                      <c:pt idx="6">
                        <c:v>630.0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3FBA-452F-BE59-E97A6060E0A1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15,1.5'!$C$46</c15:sqref>
                        </c15:formulaRef>
                      </c:ext>
                    </c:extLst>
                    <c:strCache>
                      <c:ptCount val="1"/>
                      <c:pt idx="0">
                        <c:v>Min6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15,1.5'!$D$46:$J$46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570.0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3FBA-452F-BE59-E97A6060E0A1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15,1.5'!$C$47</c15:sqref>
                        </c15:formulaRef>
                      </c:ext>
                    </c:extLst>
                    <c:strCache>
                      <c:ptCount val="1"/>
                      <c:pt idx="0">
                        <c:v>7.0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15,1.5'!$D$47:$J$47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705.0</c:v>
                      </c:pt>
                      <c:pt idx="1">
                        <c:v>645.0</c:v>
                      </c:pt>
                      <c:pt idx="2">
                        <c:v>620.0</c:v>
                      </c:pt>
                      <c:pt idx="3">
                        <c:v>615.0</c:v>
                      </c:pt>
                      <c:pt idx="4">
                        <c:v>622.5</c:v>
                      </c:pt>
                      <c:pt idx="5">
                        <c:v>638.3333333333333</c:v>
                      </c:pt>
                      <c:pt idx="6">
                        <c:v>660.0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3FBA-452F-BE59-E97A6060E0A1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15,1.5'!$C$48</c15:sqref>
                        </c15:formulaRef>
                      </c:ext>
                    </c:extLst>
                    <c:strCache>
                      <c:ptCount val="1"/>
                      <c:pt idx="0">
                        <c:v>Min7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15,1.5'!$D$48:$J$48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615.0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3FBA-452F-BE59-E97A6060E0A1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15,1.5'!$C$49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5="http://schemas.microsoft.com/office/drawing/2012/chart" xmlns:c16r2="http://schemas.microsoft.com/office/drawing/2015/06/chart">
                      <c:ext xmlns:c15="http://schemas.microsoft.com/office/drawing/2012/chart" uri="{02D57815-91ED-43cb-92C2-25804820EDAC}">
                        <c15:formulaRef>
                          <c15:sqref>'1) 15,1.5'!$D$49:$J$49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180.0</c:v>
                      </c:pt>
                      <c:pt idx="1">
                        <c:v>225.0</c:v>
                      </c:pt>
                      <c:pt idx="2">
                        <c:v>269.9999999999999</c:v>
                      </c:pt>
                      <c:pt idx="3">
                        <c:v>314.9999999999999</c:v>
                      </c:pt>
                      <c:pt idx="4">
                        <c:v>360.0</c:v>
                      </c:pt>
                      <c:pt idx="5">
                        <c:v>405.0</c:v>
                      </c:pt>
                      <c:pt idx="6">
                        <c:v>450.0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BA-452F-BE59-E97A6060E0A1}"/>
                  </c:ext>
                </c:extLst>
              </c15:ser>
            </c15:filteredLineSeries>
          </c:ext>
        </c:extLst>
      </c:lineChart>
      <c:catAx>
        <c:axId val="-2085755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Stop Spacing</a:t>
                </a:r>
                <a:r>
                  <a:rPr lang="en-US" baseline="0"/>
                  <a:t> (Miles)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747920"/>
        <c:crosses val="autoZero"/>
        <c:auto val="1"/>
        <c:lblAlgn val="ctr"/>
        <c:lblOffset val="100"/>
        <c:noMultiLvlLbl val="0"/>
      </c:catAx>
      <c:valAx>
        <c:axId val="-2085747920"/>
        <c:scaling>
          <c:orientation val="minMax"/>
          <c:max val="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Walking + Dwell 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575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Travel Time for 2-5 Mile Trip Lengths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'2) 15, 2.0'!$C$35</c:f>
              <c:strCache>
                <c:ptCount val="1"/>
                <c:pt idx="0">
                  <c:v>2.0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'2) 15,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'2) 15, 2.0'!$D$35:$J$35</c:f>
              <c:numCache>
                <c:formatCode>0</c:formatCode>
                <c:ptCount val="7"/>
                <c:pt idx="0">
                  <c:v>390.0</c:v>
                </c:pt>
                <c:pt idx="1">
                  <c:v>420.0</c:v>
                </c:pt>
                <c:pt idx="2">
                  <c:v>459.9999999999999</c:v>
                </c:pt>
                <c:pt idx="3">
                  <c:v>505.7142857142857</c:v>
                </c:pt>
                <c:pt idx="4">
                  <c:v>555.0</c:v>
                </c:pt>
                <c:pt idx="5">
                  <c:v>606.6666666666666</c:v>
                </c:pt>
                <c:pt idx="6">
                  <c:v>660.0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BA-452F-BE59-E97A6060E0A1}"/>
            </c:ext>
          </c:extLst>
        </c:ser>
        <c:ser>
          <c:idx val="1"/>
          <c:order val="1"/>
          <c:tx>
            <c:strRef>
              <c:f>'2) 15, 2.0'!$C$36</c:f>
              <c:strCache>
                <c:ptCount val="1"/>
                <c:pt idx="0">
                  <c:v>Min2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'2) 15,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'2) 15, 2.0'!$D$36:$J$36</c:f>
              <c:numCache>
                <c:formatCode>0</c:formatCode>
                <c:ptCount val="7"/>
                <c:pt idx="0">
                  <c:v>390.0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BA-452F-BE59-E97A6060E0A1}"/>
            </c:ext>
          </c:extLst>
        </c:ser>
        <c:ser>
          <c:idx val="2"/>
          <c:order val="2"/>
          <c:tx>
            <c:strRef>
              <c:f>'2) 15, 2.0'!$C$37</c:f>
              <c:strCache>
                <c:ptCount val="1"/>
                <c:pt idx="0">
                  <c:v>3.0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'2) 15,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'2) 15, 2.0'!$D$37:$J$37</c:f>
              <c:numCache>
                <c:formatCode>0</c:formatCode>
                <c:ptCount val="7"/>
                <c:pt idx="0">
                  <c:v>465.0</c:v>
                </c:pt>
                <c:pt idx="1">
                  <c:v>480.0</c:v>
                </c:pt>
                <c:pt idx="2">
                  <c:v>509.9999999999999</c:v>
                </c:pt>
                <c:pt idx="3">
                  <c:v>548.5714285714284</c:v>
                </c:pt>
                <c:pt idx="4">
                  <c:v>592.5</c:v>
                </c:pt>
                <c:pt idx="5">
                  <c:v>640.0</c:v>
                </c:pt>
                <c:pt idx="6">
                  <c:v>690.0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BA-452F-BE59-E97A6060E0A1}"/>
            </c:ext>
          </c:extLst>
        </c:ser>
        <c:ser>
          <c:idx val="3"/>
          <c:order val="3"/>
          <c:tx>
            <c:strRef>
              <c:f>'2) 15, 2.0'!$C$38</c:f>
              <c:strCache>
                <c:ptCount val="1"/>
                <c:pt idx="0">
                  <c:v>Min3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'2) 15,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'2) 15, 2.0'!$D$38:$J$38</c:f>
              <c:numCache>
                <c:formatCode>0</c:formatCode>
                <c:ptCount val="7"/>
                <c:pt idx="0">
                  <c:v>465.0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BA-452F-BE59-E97A6060E0A1}"/>
            </c:ext>
          </c:extLst>
        </c:ser>
        <c:ser>
          <c:idx val="4"/>
          <c:order val="4"/>
          <c:tx>
            <c:strRef>
              <c:f>'2) 15, 2.0'!$C$39</c:f>
              <c:strCache>
                <c:ptCount val="1"/>
                <c:pt idx="0">
                  <c:v>4.0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'2) 15,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'2) 15, 2.0'!$D$39:$J$39</c:f>
              <c:numCache>
                <c:formatCode>0</c:formatCode>
                <c:ptCount val="7"/>
                <c:pt idx="0">
                  <c:v>540.0</c:v>
                </c:pt>
                <c:pt idx="1">
                  <c:v>540.0</c:v>
                </c:pt>
                <c:pt idx="2">
                  <c:v>560.0</c:v>
                </c:pt>
                <c:pt idx="3">
                  <c:v>591.4285714285713</c:v>
                </c:pt>
                <c:pt idx="4">
                  <c:v>630.0</c:v>
                </c:pt>
                <c:pt idx="5">
                  <c:v>673.3333333333333</c:v>
                </c:pt>
                <c:pt idx="6">
                  <c:v>720.0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BA-452F-BE59-E97A6060E0A1}"/>
            </c:ext>
          </c:extLst>
        </c:ser>
        <c:ser>
          <c:idx val="5"/>
          <c:order val="5"/>
          <c:tx>
            <c:strRef>
              <c:f>'2) 15, 2.0'!$C$40</c:f>
              <c:strCache>
                <c:ptCount val="1"/>
                <c:pt idx="0">
                  <c:v>Min4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'2) 15,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'2) 15, 2.0'!$D$40:$J$40</c:f>
              <c:numCache>
                <c:formatCode>0</c:formatCode>
                <c:ptCount val="7"/>
                <c:pt idx="0">
                  <c:v>540.0</c:v>
                </c:pt>
                <c:pt idx="1">
                  <c:v>540.0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BA-452F-BE59-E97A6060E0A1}"/>
            </c:ext>
          </c:extLst>
        </c:ser>
        <c:ser>
          <c:idx val="6"/>
          <c:order val="6"/>
          <c:tx>
            <c:strRef>
              <c:f>'2) 15, 2.0'!$C$41</c:f>
              <c:strCache>
                <c:ptCount val="1"/>
                <c:pt idx="0">
                  <c:v>5.0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'2) 15,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'2) 15, 2.0'!$D$41:$J$41</c:f>
              <c:numCache>
                <c:formatCode>0</c:formatCode>
                <c:ptCount val="7"/>
                <c:pt idx="0">
                  <c:v>615.0</c:v>
                </c:pt>
                <c:pt idx="1">
                  <c:v>600.0</c:v>
                </c:pt>
                <c:pt idx="2">
                  <c:v>610.0</c:v>
                </c:pt>
                <c:pt idx="3">
                  <c:v>634.2857142857142</c:v>
                </c:pt>
                <c:pt idx="4">
                  <c:v>667.5</c:v>
                </c:pt>
                <c:pt idx="5">
                  <c:v>706.6666666666666</c:v>
                </c:pt>
                <c:pt idx="6">
                  <c:v>750.0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BA-452F-BE59-E97A6060E0A1}"/>
            </c:ext>
          </c:extLst>
        </c:ser>
        <c:ser>
          <c:idx val="7"/>
          <c:order val="7"/>
          <c:tx>
            <c:strRef>
              <c:f>'2) 15, 2.0'!$C$42</c:f>
              <c:strCache>
                <c:ptCount val="1"/>
                <c:pt idx="0">
                  <c:v>Min5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'2) 15,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'2) 15, 2.0'!$D$42:$J$42</c:f>
              <c:numCache>
                <c:formatCode>0</c:formatCode>
                <c:ptCount val="7"/>
                <c:pt idx="0">
                  <c:v>#N/A</c:v>
                </c:pt>
                <c:pt idx="1">
                  <c:v>600.0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BA-452F-BE59-E97A6060E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695600"/>
        <c:axId val="-208668974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'2) 15, 2.0'!$C$43</c15:sqref>
                        </c15:formulaRef>
                      </c:ext>
                    </c:extLst>
                    <c:strCache>
                      <c:ptCount val="1"/>
                      <c:pt idx="0">
                        <c:v>5.0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'2) 15,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'2) 15, 2.0'!$D$43:$J$43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615.0</c:v>
                      </c:pt>
                      <c:pt idx="1">
                        <c:v>600.0</c:v>
                      </c:pt>
                      <c:pt idx="2">
                        <c:v>610.0</c:v>
                      </c:pt>
                      <c:pt idx="3">
                        <c:v>634.2857142857142</c:v>
                      </c:pt>
                      <c:pt idx="4">
                        <c:v>667.5</c:v>
                      </c:pt>
                      <c:pt idx="5">
                        <c:v>706.6666666666666</c:v>
                      </c:pt>
                      <c:pt idx="6">
                        <c:v>750.0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3FBA-452F-BE59-E97A6060E0A1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2.0'!$C$44</c15:sqref>
                        </c15:formulaRef>
                      </c:ext>
                    </c:extLst>
                    <c:strCache>
                      <c:ptCount val="1"/>
                      <c:pt idx="0">
                        <c:v>Min5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2.0'!$D$44:$J$44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600.0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3FBA-452F-BE59-E97A6060E0A1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2.0'!$C$45</c15:sqref>
                        </c15:formulaRef>
                      </c:ext>
                    </c:extLst>
                    <c:strCache>
                      <c:ptCount val="1"/>
                      <c:pt idx="0">
                        <c:v>6.0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2.0'!$D$45:$J$45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690.0</c:v>
                      </c:pt>
                      <c:pt idx="1">
                        <c:v>660.0</c:v>
                      </c:pt>
                      <c:pt idx="2">
                        <c:v>660.0</c:v>
                      </c:pt>
                      <c:pt idx="3">
                        <c:v>677.1428571428571</c:v>
                      </c:pt>
                      <c:pt idx="4">
                        <c:v>705.0</c:v>
                      </c:pt>
                      <c:pt idx="5">
                        <c:v>740.0</c:v>
                      </c:pt>
                      <c:pt idx="6">
                        <c:v>780.0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3FBA-452F-BE59-E97A6060E0A1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2.0'!$C$46</c15:sqref>
                        </c15:formulaRef>
                      </c:ext>
                    </c:extLst>
                    <c:strCache>
                      <c:ptCount val="1"/>
                      <c:pt idx="0">
                        <c:v>Min6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2.0'!$D$46:$J$46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660.0</c:v>
                      </c:pt>
                      <c:pt idx="2">
                        <c:v>660.0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3FBA-452F-BE59-E97A6060E0A1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2.0'!$C$47</c15:sqref>
                        </c15:formulaRef>
                      </c:ext>
                    </c:extLst>
                    <c:strCache>
                      <c:ptCount val="1"/>
                      <c:pt idx="0">
                        <c:v>7.0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2.0'!$D$47:$J$47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765.0</c:v>
                      </c:pt>
                      <c:pt idx="1">
                        <c:v>720.0</c:v>
                      </c:pt>
                      <c:pt idx="2">
                        <c:v>710.0</c:v>
                      </c:pt>
                      <c:pt idx="3">
                        <c:v>720.0</c:v>
                      </c:pt>
                      <c:pt idx="4">
                        <c:v>742.5</c:v>
                      </c:pt>
                      <c:pt idx="5">
                        <c:v>773.3333333333333</c:v>
                      </c:pt>
                      <c:pt idx="6">
                        <c:v>810.0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3FBA-452F-BE59-E97A6060E0A1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2.0'!$C$48</c15:sqref>
                        </c15:formulaRef>
                      </c:ext>
                    </c:extLst>
                    <c:strCache>
                      <c:ptCount val="1"/>
                      <c:pt idx="0">
                        <c:v>Min7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2.0'!$D$48:$J$48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710.0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3FBA-452F-BE59-E97A6060E0A1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2.0'!$C$49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'2) 15, 2.0'!$D$49:$J$49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240.0</c:v>
                      </c:pt>
                      <c:pt idx="1">
                        <c:v>300.0</c:v>
                      </c:pt>
                      <c:pt idx="2">
                        <c:v>359.9999999999999</c:v>
                      </c:pt>
                      <c:pt idx="3">
                        <c:v>419.9999999999999</c:v>
                      </c:pt>
                      <c:pt idx="4">
                        <c:v>480.0</c:v>
                      </c:pt>
                      <c:pt idx="5">
                        <c:v>540.0</c:v>
                      </c:pt>
                      <c:pt idx="6">
                        <c:v>600.0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BA-452F-BE59-E97A6060E0A1}"/>
                  </c:ext>
                </c:extLst>
              </c15:ser>
            </c15:filteredLineSeries>
          </c:ext>
        </c:extLst>
      </c:lineChart>
      <c:catAx>
        <c:axId val="-208669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Stop Spacing</a:t>
                </a:r>
                <a:r>
                  <a:rPr lang="en-US" baseline="0"/>
                  <a:t> (Miles)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689744"/>
        <c:crosses val="autoZero"/>
        <c:auto val="1"/>
        <c:lblAlgn val="ctr"/>
        <c:lblOffset val="100"/>
        <c:noMultiLvlLbl val="0"/>
      </c:catAx>
      <c:valAx>
        <c:axId val="-2086689744"/>
        <c:scaling>
          <c:orientation val="minMax"/>
          <c:max val="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Walking + Dwell 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69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Travel Time for 2-5 Mile Trip Lengths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'3) 30, 1.5'!$C$35</c:f>
              <c:strCache>
                <c:ptCount val="1"/>
                <c:pt idx="0">
                  <c:v>2.0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'3) 30, 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'3) 30, 1.5'!$D$35:$J$35</c:f>
              <c:numCache>
                <c:formatCode>0</c:formatCode>
                <c:ptCount val="7"/>
                <c:pt idx="0">
                  <c:v>480.0</c:v>
                </c:pt>
                <c:pt idx="1">
                  <c:v>465.0</c:v>
                </c:pt>
                <c:pt idx="2">
                  <c:v>469.9999999999999</c:v>
                </c:pt>
                <c:pt idx="3">
                  <c:v>486.4285714285714</c:v>
                </c:pt>
                <c:pt idx="4">
                  <c:v>510.0</c:v>
                </c:pt>
                <c:pt idx="5">
                  <c:v>538.3333333333333</c:v>
                </c:pt>
                <c:pt idx="6">
                  <c:v>570.0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BA-452F-BE59-E97A6060E0A1}"/>
            </c:ext>
          </c:extLst>
        </c:ser>
        <c:ser>
          <c:idx val="1"/>
          <c:order val="1"/>
          <c:tx>
            <c:strRef>
              <c:f>'3) 30, 1.5'!$C$36</c:f>
              <c:strCache>
                <c:ptCount val="1"/>
                <c:pt idx="0">
                  <c:v>Min2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'3) 30, 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'3) 30, 1.5'!$D$36:$J$36</c:f>
              <c:numCache>
                <c:formatCode>0</c:formatCode>
                <c:ptCount val="7"/>
                <c:pt idx="0">
                  <c:v>#N/A</c:v>
                </c:pt>
                <c:pt idx="1">
                  <c:v>465.0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BA-452F-BE59-E97A6060E0A1}"/>
            </c:ext>
          </c:extLst>
        </c:ser>
        <c:ser>
          <c:idx val="2"/>
          <c:order val="2"/>
          <c:tx>
            <c:strRef>
              <c:f>'3) 30, 1.5'!$C$37</c:f>
              <c:strCache>
                <c:ptCount val="1"/>
                <c:pt idx="0">
                  <c:v>3.0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'3) 30, 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'3) 30, 1.5'!$D$37:$J$37</c:f>
              <c:numCache>
                <c:formatCode>0</c:formatCode>
                <c:ptCount val="7"/>
                <c:pt idx="0">
                  <c:v>630.0</c:v>
                </c:pt>
                <c:pt idx="1">
                  <c:v>585.0</c:v>
                </c:pt>
                <c:pt idx="2">
                  <c:v>570.0</c:v>
                </c:pt>
                <c:pt idx="3">
                  <c:v>572.1428571428571</c:v>
                </c:pt>
                <c:pt idx="4">
                  <c:v>585.0</c:v>
                </c:pt>
                <c:pt idx="5">
                  <c:v>605.0</c:v>
                </c:pt>
                <c:pt idx="6">
                  <c:v>630.0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BA-452F-BE59-E97A6060E0A1}"/>
            </c:ext>
          </c:extLst>
        </c:ser>
        <c:ser>
          <c:idx val="3"/>
          <c:order val="3"/>
          <c:tx>
            <c:strRef>
              <c:f>'3) 30, 1.5'!$C$38</c:f>
              <c:strCache>
                <c:ptCount val="1"/>
                <c:pt idx="0">
                  <c:v>Min3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'3) 30, 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'3) 30, 1.5'!$D$38:$J$38</c:f>
              <c:numCache>
                <c:formatCode>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570.0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BA-452F-BE59-E97A6060E0A1}"/>
            </c:ext>
          </c:extLst>
        </c:ser>
        <c:ser>
          <c:idx val="4"/>
          <c:order val="4"/>
          <c:tx>
            <c:strRef>
              <c:f>'3) 30, 1.5'!$C$39</c:f>
              <c:strCache>
                <c:ptCount val="1"/>
                <c:pt idx="0">
                  <c:v>4.0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'3) 30, 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'3) 30, 1.5'!$D$39:$J$39</c:f>
              <c:numCache>
                <c:formatCode>0</c:formatCode>
                <c:ptCount val="7"/>
                <c:pt idx="0">
                  <c:v>780.0</c:v>
                </c:pt>
                <c:pt idx="1">
                  <c:v>705.0</c:v>
                </c:pt>
                <c:pt idx="2">
                  <c:v>670.0</c:v>
                </c:pt>
                <c:pt idx="3">
                  <c:v>657.8571428571429</c:v>
                </c:pt>
                <c:pt idx="4">
                  <c:v>660.0</c:v>
                </c:pt>
                <c:pt idx="5">
                  <c:v>671.6666666666667</c:v>
                </c:pt>
                <c:pt idx="6">
                  <c:v>690.0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BA-452F-BE59-E97A6060E0A1}"/>
            </c:ext>
          </c:extLst>
        </c:ser>
        <c:ser>
          <c:idx val="5"/>
          <c:order val="5"/>
          <c:tx>
            <c:strRef>
              <c:f>'3) 30, 1.5'!$C$40</c:f>
              <c:strCache>
                <c:ptCount val="1"/>
                <c:pt idx="0">
                  <c:v>Min4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'3) 30, 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'3) 30, 1.5'!$D$40:$J$40</c:f>
              <c:numCache>
                <c:formatCode>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657.8571428571429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BA-452F-BE59-E97A6060E0A1}"/>
            </c:ext>
          </c:extLst>
        </c:ser>
        <c:ser>
          <c:idx val="6"/>
          <c:order val="6"/>
          <c:tx>
            <c:strRef>
              <c:f>'3) 30, 1.5'!$C$41</c:f>
              <c:strCache>
                <c:ptCount val="1"/>
                <c:pt idx="0">
                  <c:v>5.0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'3) 30, 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'3) 30, 1.5'!$D$41:$J$41</c:f>
              <c:numCache>
                <c:formatCode>0</c:formatCode>
                <c:ptCount val="7"/>
                <c:pt idx="0">
                  <c:v>930.0</c:v>
                </c:pt>
                <c:pt idx="1">
                  <c:v>825.0</c:v>
                </c:pt>
                <c:pt idx="2">
                  <c:v>770.0</c:v>
                </c:pt>
                <c:pt idx="3">
                  <c:v>743.5714285714286</c:v>
                </c:pt>
                <c:pt idx="4">
                  <c:v>735.0</c:v>
                </c:pt>
                <c:pt idx="5">
                  <c:v>738.3333333333332</c:v>
                </c:pt>
                <c:pt idx="6">
                  <c:v>750.0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BA-452F-BE59-E97A6060E0A1}"/>
            </c:ext>
          </c:extLst>
        </c:ser>
        <c:ser>
          <c:idx val="7"/>
          <c:order val="7"/>
          <c:tx>
            <c:strRef>
              <c:f>'3) 30, 1.5'!$C$42</c:f>
              <c:strCache>
                <c:ptCount val="1"/>
                <c:pt idx="0">
                  <c:v>Min5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'3) 30, 1.5'!$D$34:$J$34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'3) 30, 1.5'!$D$42:$J$42</c:f>
              <c:numCache>
                <c:formatCode>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735.0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BA-452F-BE59-E97A6060E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765200"/>
        <c:axId val="212296830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'3) 30, 1.5'!$C$43</c15:sqref>
                        </c15:formulaRef>
                      </c:ext>
                    </c:extLst>
                    <c:strCache>
                      <c:ptCount val="1"/>
                      <c:pt idx="0">
                        <c:v>5.0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'3) 30, 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'3) 30, 1.5'!$D$43:$J$43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930.0</c:v>
                      </c:pt>
                      <c:pt idx="1">
                        <c:v>825.0</c:v>
                      </c:pt>
                      <c:pt idx="2">
                        <c:v>770.0</c:v>
                      </c:pt>
                      <c:pt idx="3">
                        <c:v>743.5714285714286</c:v>
                      </c:pt>
                      <c:pt idx="4">
                        <c:v>735.0</c:v>
                      </c:pt>
                      <c:pt idx="5">
                        <c:v>738.3333333333332</c:v>
                      </c:pt>
                      <c:pt idx="6">
                        <c:v>750.0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3FBA-452F-BE59-E97A6060E0A1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1.5'!$C$44</c15:sqref>
                        </c15:formulaRef>
                      </c:ext>
                    </c:extLst>
                    <c:strCache>
                      <c:ptCount val="1"/>
                      <c:pt idx="0">
                        <c:v>Min5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1.5'!$D$44:$J$44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735.0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3FBA-452F-BE59-E97A6060E0A1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1.5'!$C$45</c15:sqref>
                        </c15:formulaRef>
                      </c:ext>
                    </c:extLst>
                    <c:strCache>
                      <c:ptCount val="1"/>
                      <c:pt idx="0">
                        <c:v>6.0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1.5'!$D$45:$J$45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1080.0</c:v>
                      </c:pt>
                      <c:pt idx="1">
                        <c:v>945.0</c:v>
                      </c:pt>
                      <c:pt idx="2">
                        <c:v>870.0</c:v>
                      </c:pt>
                      <c:pt idx="3">
                        <c:v>829.2857142857142</c:v>
                      </c:pt>
                      <c:pt idx="4">
                        <c:v>810.0</c:v>
                      </c:pt>
                      <c:pt idx="5">
                        <c:v>805.0</c:v>
                      </c:pt>
                      <c:pt idx="6">
                        <c:v>810.0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3FBA-452F-BE59-E97A6060E0A1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1.5'!$C$46</c15:sqref>
                        </c15:formulaRef>
                      </c:ext>
                    </c:extLst>
                    <c:strCache>
                      <c:ptCount val="1"/>
                      <c:pt idx="0">
                        <c:v>Min6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1.5'!$D$46:$J$46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805.0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3FBA-452F-BE59-E97A6060E0A1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1.5'!$C$47</c15:sqref>
                        </c15:formulaRef>
                      </c:ext>
                    </c:extLst>
                    <c:strCache>
                      <c:ptCount val="1"/>
                      <c:pt idx="0">
                        <c:v>7.0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1.5'!$D$47:$J$47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1230.0</c:v>
                      </c:pt>
                      <c:pt idx="1">
                        <c:v>1065.0</c:v>
                      </c:pt>
                      <c:pt idx="2">
                        <c:v>970.0</c:v>
                      </c:pt>
                      <c:pt idx="3">
                        <c:v>915.0</c:v>
                      </c:pt>
                      <c:pt idx="4">
                        <c:v>885.0</c:v>
                      </c:pt>
                      <c:pt idx="5">
                        <c:v>871.6666666666667</c:v>
                      </c:pt>
                      <c:pt idx="6">
                        <c:v>870.0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3FBA-452F-BE59-E97A6060E0A1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1.5'!$C$48</c15:sqref>
                        </c15:formulaRef>
                      </c:ext>
                    </c:extLst>
                    <c:strCache>
                      <c:ptCount val="1"/>
                      <c:pt idx="0">
                        <c:v>Min7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1.5'!$D$48:$J$48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870.0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3FBA-452F-BE59-E97A6060E0A1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1.5'!$C$49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'3) 30, 1.5'!$D$49:$J$49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180.0</c:v>
                      </c:pt>
                      <c:pt idx="1">
                        <c:v>225.0</c:v>
                      </c:pt>
                      <c:pt idx="2">
                        <c:v>269.9999999999999</c:v>
                      </c:pt>
                      <c:pt idx="3">
                        <c:v>314.9999999999999</c:v>
                      </c:pt>
                      <c:pt idx="4">
                        <c:v>360.0</c:v>
                      </c:pt>
                      <c:pt idx="5">
                        <c:v>405.0</c:v>
                      </c:pt>
                      <c:pt idx="6">
                        <c:v>450.0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BA-452F-BE59-E97A6060E0A1}"/>
                  </c:ext>
                </c:extLst>
              </c15:ser>
            </c15:filteredLineSeries>
          </c:ext>
        </c:extLst>
      </c:lineChart>
      <c:catAx>
        <c:axId val="-208676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Stop Spacing</a:t>
                </a:r>
                <a:r>
                  <a:rPr lang="en-US" baseline="0"/>
                  <a:t> (Miles)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968304"/>
        <c:crosses val="autoZero"/>
        <c:auto val="1"/>
        <c:lblAlgn val="ctr"/>
        <c:lblOffset val="100"/>
        <c:noMultiLvlLbl val="0"/>
      </c:catAx>
      <c:valAx>
        <c:axId val="212296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Walking + Dwell 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76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Travel Time for 2-5 Mile Trip Lengths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'4) 30, 2.0'!$C$35</c:f>
              <c:strCache>
                <c:ptCount val="1"/>
                <c:pt idx="0">
                  <c:v>2.0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'4) 30,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'4) 30, 2.0'!$D$35:$J$35</c:f>
              <c:numCache>
                <c:formatCode>0</c:formatCode>
                <c:ptCount val="7"/>
                <c:pt idx="0">
                  <c:v>540.0</c:v>
                </c:pt>
                <c:pt idx="1">
                  <c:v>540.0</c:v>
                </c:pt>
                <c:pt idx="2">
                  <c:v>560.0</c:v>
                </c:pt>
                <c:pt idx="3">
                  <c:v>591.4285714285713</c:v>
                </c:pt>
                <c:pt idx="4">
                  <c:v>630.0</c:v>
                </c:pt>
                <c:pt idx="5">
                  <c:v>673.3333333333333</c:v>
                </c:pt>
                <c:pt idx="6">
                  <c:v>720.0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BA-452F-BE59-E97A6060E0A1}"/>
            </c:ext>
          </c:extLst>
        </c:ser>
        <c:ser>
          <c:idx val="1"/>
          <c:order val="1"/>
          <c:tx>
            <c:strRef>
              <c:f>'4) 30, 2.0'!$C$36</c:f>
              <c:strCache>
                <c:ptCount val="1"/>
                <c:pt idx="0">
                  <c:v>Min2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'4) 30,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'4) 30, 2.0'!$D$36:$J$36</c:f>
              <c:numCache>
                <c:formatCode>0</c:formatCode>
                <c:ptCount val="7"/>
                <c:pt idx="0">
                  <c:v>540.0</c:v>
                </c:pt>
                <c:pt idx="1">
                  <c:v>540.0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BA-452F-BE59-E97A6060E0A1}"/>
            </c:ext>
          </c:extLst>
        </c:ser>
        <c:ser>
          <c:idx val="2"/>
          <c:order val="2"/>
          <c:tx>
            <c:strRef>
              <c:f>'4) 30, 2.0'!$C$37</c:f>
              <c:strCache>
                <c:ptCount val="1"/>
                <c:pt idx="0">
                  <c:v>3.0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'4) 30,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'4) 30, 2.0'!$D$37:$J$37</c:f>
              <c:numCache>
                <c:formatCode>0</c:formatCode>
                <c:ptCount val="7"/>
                <c:pt idx="0">
                  <c:v>690.0</c:v>
                </c:pt>
                <c:pt idx="1">
                  <c:v>660.0</c:v>
                </c:pt>
                <c:pt idx="2">
                  <c:v>660.0</c:v>
                </c:pt>
                <c:pt idx="3">
                  <c:v>677.1428571428571</c:v>
                </c:pt>
                <c:pt idx="4">
                  <c:v>705.0</c:v>
                </c:pt>
                <c:pt idx="5">
                  <c:v>740.0</c:v>
                </c:pt>
                <c:pt idx="6">
                  <c:v>780.0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BA-452F-BE59-E97A6060E0A1}"/>
            </c:ext>
          </c:extLst>
        </c:ser>
        <c:ser>
          <c:idx val="3"/>
          <c:order val="3"/>
          <c:tx>
            <c:strRef>
              <c:f>'4) 30, 2.0'!$C$38</c:f>
              <c:strCache>
                <c:ptCount val="1"/>
                <c:pt idx="0">
                  <c:v>Min3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'4) 30,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'4) 30, 2.0'!$D$38:$J$38</c:f>
              <c:numCache>
                <c:formatCode>0</c:formatCode>
                <c:ptCount val="7"/>
                <c:pt idx="0">
                  <c:v>#N/A</c:v>
                </c:pt>
                <c:pt idx="1">
                  <c:v>660.0</c:v>
                </c:pt>
                <c:pt idx="2">
                  <c:v>660.0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BA-452F-BE59-E97A6060E0A1}"/>
            </c:ext>
          </c:extLst>
        </c:ser>
        <c:ser>
          <c:idx val="4"/>
          <c:order val="4"/>
          <c:tx>
            <c:strRef>
              <c:f>'4) 30, 2.0'!$C$39</c:f>
              <c:strCache>
                <c:ptCount val="1"/>
                <c:pt idx="0">
                  <c:v>4.0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'4) 30,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'4) 30, 2.0'!$D$39:$J$39</c:f>
              <c:numCache>
                <c:formatCode>0</c:formatCode>
                <c:ptCount val="7"/>
                <c:pt idx="0">
                  <c:v>840.0</c:v>
                </c:pt>
                <c:pt idx="1">
                  <c:v>780.0</c:v>
                </c:pt>
                <c:pt idx="2">
                  <c:v>760.0</c:v>
                </c:pt>
                <c:pt idx="3">
                  <c:v>762.8571428571429</c:v>
                </c:pt>
                <c:pt idx="4">
                  <c:v>780.0</c:v>
                </c:pt>
                <c:pt idx="5">
                  <c:v>806.6666666666667</c:v>
                </c:pt>
                <c:pt idx="6">
                  <c:v>840.0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FBA-452F-BE59-E97A6060E0A1}"/>
            </c:ext>
          </c:extLst>
        </c:ser>
        <c:ser>
          <c:idx val="5"/>
          <c:order val="5"/>
          <c:tx>
            <c:strRef>
              <c:f>'4) 30, 2.0'!$C$40</c:f>
              <c:strCache>
                <c:ptCount val="1"/>
                <c:pt idx="0">
                  <c:v>Min4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'4) 30,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'4) 30, 2.0'!$D$40:$J$40</c:f>
              <c:numCache>
                <c:formatCode>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760.0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FBA-452F-BE59-E97A6060E0A1}"/>
            </c:ext>
          </c:extLst>
        </c:ser>
        <c:ser>
          <c:idx val="6"/>
          <c:order val="6"/>
          <c:tx>
            <c:strRef>
              <c:f>'4) 30, 2.0'!$C$41</c:f>
              <c:strCache>
                <c:ptCount val="1"/>
                <c:pt idx="0">
                  <c:v>5.0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'4) 30,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'4) 30, 2.0'!$D$41:$J$41</c:f>
              <c:numCache>
                <c:formatCode>0</c:formatCode>
                <c:ptCount val="7"/>
                <c:pt idx="0">
                  <c:v>990.0</c:v>
                </c:pt>
                <c:pt idx="1">
                  <c:v>900.0</c:v>
                </c:pt>
                <c:pt idx="2">
                  <c:v>860.0</c:v>
                </c:pt>
                <c:pt idx="3">
                  <c:v>848.5714285714286</c:v>
                </c:pt>
                <c:pt idx="4">
                  <c:v>855.0</c:v>
                </c:pt>
                <c:pt idx="5">
                  <c:v>873.3333333333332</c:v>
                </c:pt>
                <c:pt idx="6">
                  <c:v>900.0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3FBA-452F-BE59-E97A6060E0A1}"/>
            </c:ext>
          </c:extLst>
        </c:ser>
        <c:ser>
          <c:idx val="7"/>
          <c:order val="7"/>
          <c:tx>
            <c:strRef>
              <c:f>'4) 30, 2.0'!$C$42</c:f>
              <c:strCache>
                <c:ptCount val="1"/>
                <c:pt idx="0">
                  <c:v>Min5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cat>
            <c:numRef>
              <c:f>'4) 30, 2.0'!$D$34:$J$34</c:f>
              <c:numCache>
                <c:formatCode>General</c:formatCode>
                <c:ptCount val="7"/>
                <c:pt idx="0">
                  <c:v>0.2</c:v>
                </c:pt>
                <c:pt idx="1">
                  <c:v>0.25</c:v>
                </c:pt>
                <c:pt idx="2">
                  <c:v>0.3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0.5</c:v>
                </c:pt>
              </c:numCache>
            </c:numRef>
          </c:cat>
          <c:val>
            <c:numRef>
              <c:f>'4) 30, 2.0'!$D$42:$J$42</c:f>
              <c:numCache>
                <c:formatCode>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848.5714285714286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3FBA-452F-BE59-E97A6060E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2824768"/>
        <c:axId val="2122830624"/>
        <c:extLst xmlns:c16r2="http://schemas.microsoft.com/office/drawing/2015/06/chart">
          <c:ext xmlns:c15="http://schemas.microsoft.com/office/drawing/2012/chart" uri="{02D57815-91ED-43cb-92C2-25804820EDAC}">
            <c15:filteredLineSeries>
              <c15:ser>
                <c:idx val="8"/>
                <c:order val="8"/>
                <c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'4) 30, 2.0'!$C$43</c15:sqref>
                        </c15:formulaRef>
                      </c:ext>
                    </c:extLst>
                    <c:strCache>
                      <c:ptCount val="1"/>
                      <c:pt idx="0">
                        <c:v>5.0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'4) 30,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'4) 30, 2.0'!$D$43:$J$43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990.0</c:v>
                      </c:pt>
                      <c:pt idx="1">
                        <c:v>900.0</c:v>
                      </c:pt>
                      <c:pt idx="2">
                        <c:v>860.0</c:v>
                      </c:pt>
                      <c:pt idx="3">
                        <c:v>848.5714285714286</c:v>
                      </c:pt>
                      <c:pt idx="4">
                        <c:v>855.0</c:v>
                      </c:pt>
                      <c:pt idx="5">
                        <c:v>873.3333333333332</c:v>
                      </c:pt>
                      <c:pt idx="6">
                        <c:v>900.0</c:v>
                      </c:pt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8-3FBA-452F-BE59-E97A6060E0A1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2.0'!$C$44</c15:sqref>
                        </c15:formulaRef>
                      </c:ext>
                    </c:extLst>
                    <c:strCache>
                      <c:ptCount val="1"/>
                      <c:pt idx="0">
                        <c:v>Min5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2.0'!$D$44:$J$44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848.5714285714286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9-3FBA-452F-BE59-E97A6060E0A1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2.0'!$C$45</c15:sqref>
                        </c15:formulaRef>
                      </c:ext>
                    </c:extLst>
                    <c:strCache>
                      <c:ptCount val="1"/>
                      <c:pt idx="0">
                        <c:v>6.0</c:v>
                      </c:pt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2.0'!$D$45:$J$45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1140.0</c:v>
                      </c:pt>
                      <c:pt idx="1">
                        <c:v>1020.0</c:v>
                      </c:pt>
                      <c:pt idx="2">
                        <c:v>960.0</c:v>
                      </c:pt>
                      <c:pt idx="3">
                        <c:v>934.2857142857142</c:v>
                      </c:pt>
                      <c:pt idx="4">
                        <c:v>930.0</c:v>
                      </c:pt>
                      <c:pt idx="5">
                        <c:v>940.0</c:v>
                      </c:pt>
                      <c:pt idx="6">
                        <c:v>960.0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A-3FBA-452F-BE59-E97A6060E0A1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2.0'!$C$46</c15:sqref>
                        </c15:formulaRef>
                      </c:ext>
                    </c:extLst>
                    <c:strCache>
                      <c:ptCount val="1"/>
                      <c:pt idx="0">
                        <c:v>Min6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2.0'!$D$46:$J$46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930.0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B-3FBA-452F-BE59-E97A6060E0A1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2.0'!$C$47</c15:sqref>
                        </c15:formulaRef>
                      </c:ext>
                    </c:extLst>
                    <c:strCache>
                      <c:ptCount val="1"/>
                      <c:pt idx="0">
                        <c:v>7.0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2.0'!$D$47:$J$47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1290.0</c:v>
                      </c:pt>
                      <c:pt idx="1">
                        <c:v>1140.0</c:v>
                      </c:pt>
                      <c:pt idx="2">
                        <c:v>1060.0</c:v>
                      </c:pt>
                      <c:pt idx="3">
                        <c:v>1020.0</c:v>
                      </c:pt>
                      <c:pt idx="4">
                        <c:v>1005.0</c:v>
                      </c:pt>
                      <c:pt idx="5">
                        <c:v>1006.666666666667</c:v>
                      </c:pt>
                      <c:pt idx="6">
                        <c:v>1020.0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C-3FBA-452F-BE59-E97A6060E0A1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2.0'!$C$48</c15:sqref>
                        </c15:formulaRef>
                      </c:ext>
                    </c:extLst>
                    <c:strCache>
                      <c:ptCount val="1"/>
                      <c:pt idx="0">
                        <c:v>Min7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2.0'!$D$48:$J$48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1005.0</c:v>
                      </c:pt>
                      <c:pt idx="5">
                        <c:v>#N/A</c:v>
                      </c:pt>
                      <c:pt idx="6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D-3FBA-452F-BE59-E97A6060E0A1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2.0'!$C$49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2.0'!$D$34:$J$34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0.2</c:v>
                      </c:pt>
                      <c:pt idx="1">
                        <c:v>0.25</c:v>
                      </c:pt>
                      <c:pt idx="2">
                        <c:v>0.3</c:v>
                      </c:pt>
                      <c:pt idx="3">
                        <c:v>0.35</c:v>
                      </c:pt>
                      <c:pt idx="4">
                        <c:v>0.4</c:v>
                      </c:pt>
                      <c:pt idx="5">
                        <c:v>0.45</c:v>
                      </c:pt>
                      <c:pt idx="6">
                        <c:v>0.5</c:v>
                      </c:pt>
                    </c:numCache>
                  </c:numRef>
                </c:cat>
                <c:val>
                  <c:numRef>
                    <c:extLst xmlns:c16r2="http://schemas.microsoft.com/office/drawing/2015/06/chart"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'4) 30, 2.0'!$D$49:$J$49</c15:sqref>
                        </c15:formulaRef>
                      </c:ext>
                    </c:extLst>
                    <c:numCache>
                      <c:formatCode>0</c:formatCode>
                      <c:ptCount val="7"/>
                      <c:pt idx="0">
                        <c:v>240.0</c:v>
                      </c:pt>
                      <c:pt idx="1">
                        <c:v>300.0</c:v>
                      </c:pt>
                      <c:pt idx="2">
                        <c:v>359.9999999999999</c:v>
                      </c:pt>
                      <c:pt idx="3">
                        <c:v>419.9999999999999</c:v>
                      </c:pt>
                      <c:pt idx="4">
                        <c:v>480.0</c:v>
                      </c:pt>
                      <c:pt idx="5">
                        <c:v>540.0</c:v>
                      </c:pt>
                      <c:pt idx="6">
                        <c:v>600.0</c:v>
                      </c:pt>
                    </c:numCache>
                  </c:numRef>
                </c:val>
                <c:smooth val="0"/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E-3FBA-452F-BE59-E97A6060E0A1}"/>
                  </c:ext>
                </c:extLst>
              </c15:ser>
            </c15:filteredLineSeries>
          </c:ext>
        </c:extLst>
      </c:lineChart>
      <c:catAx>
        <c:axId val="2122824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Stop Spacing</a:t>
                </a:r>
                <a:r>
                  <a:rPr lang="en-US" baseline="0"/>
                  <a:t> (Miles)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830624"/>
        <c:crosses val="autoZero"/>
        <c:auto val="1"/>
        <c:lblAlgn val="ctr"/>
        <c:lblOffset val="100"/>
        <c:noMultiLvlLbl val="0"/>
      </c:catAx>
      <c:valAx>
        <c:axId val="2122830624"/>
        <c:scaling>
          <c:orientation val="minMax"/>
          <c:max val="10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Walking + Dwell 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82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596361</xdr:colOff>
      <xdr:row>1</xdr:row>
      <xdr:rowOff>96228</xdr:rowOff>
    </xdr:from>
    <xdr:to>
      <xdr:col>23</xdr:col>
      <xdr:colOff>169104</xdr:colOff>
      <xdr:row>17</xdr:row>
      <xdr:rowOff>125292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595140</xdr:colOff>
      <xdr:row>1</xdr:row>
      <xdr:rowOff>87924</xdr:rowOff>
    </xdr:from>
    <xdr:to>
      <xdr:col>23</xdr:col>
      <xdr:colOff>167883</xdr:colOff>
      <xdr:row>17</xdr:row>
      <xdr:rowOff>116988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595140</xdr:colOff>
      <xdr:row>1</xdr:row>
      <xdr:rowOff>87924</xdr:rowOff>
    </xdr:from>
    <xdr:to>
      <xdr:col>23</xdr:col>
      <xdr:colOff>167883</xdr:colOff>
      <xdr:row>17</xdr:row>
      <xdr:rowOff>116988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595140</xdr:colOff>
      <xdr:row>1</xdr:row>
      <xdr:rowOff>87924</xdr:rowOff>
    </xdr:from>
    <xdr:to>
      <xdr:col>23</xdr:col>
      <xdr:colOff>167883</xdr:colOff>
      <xdr:row>17</xdr:row>
      <xdr:rowOff>116988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nlinepubs.trb.org/onlinepubs/tcrp/docs/tcrp100/Part4.pdf" TargetMode="External"/><Relationship Id="rId2" Type="http://schemas.openxmlformats.org/officeDocument/2006/relationships/printerSettings" Target="../printerSettings/printerSettings2.bin"/><Relationship Id="rId3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onlinepubs.trb.org/onlinepubs/tcrp/docs/tcrp100/Part4.pdf" TargetMode="External"/><Relationship Id="rId2" Type="http://schemas.openxmlformats.org/officeDocument/2006/relationships/printerSettings" Target="../printerSettings/printerSettings3.bin"/><Relationship Id="rId3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onlinepubs.trb.org/onlinepubs/tcrp/docs/tcrp100/Part4.pdf" TargetMode="External"/><Relationship Id="rId2" Type="http://schemas.openxmlformats.org/officeDocument/2006/relationships/printerSettings" Target="../printerSettings/printerSettings4.bin"/><Relationship Id="rId3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onlinepubs.trb.org/onlinepubs/tcrp/docs/tcrp100/Part4.pdf" TargetMode="External"/><Relationship Id="rId2" Type="http://schemas.openxmlformats.org/officeDocument/2006/relationships/printerSettings" Target="../printerSettings/printerSettings5.bin"/><Relationship Id="rId3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L26" sqref="L26"/>
    </sheetView>
  </sheetViews>
  <sheetFormatPr baseColWidth="10" defaultColWidth="8.83203125" defaultRowHeight="15" x14ac:dyDescent="0.2"/>
  <cols>
    <col min="1" max="1" width="2.5" customWidth="1"/>
    <col min="2" max="2" width="66.6640625" bestFit="1" customWidth="1"/>
    <col min="3" max="4" width="9.5" bestFit="1" customWidth="1"/>
    <col min="5" max="5" width="10.6640625" bestFit="1" customWidth="1"/>
    <col min="6" max="6" width="10.5" customWidth="1"/>
    <col min="7" max="9" width="9.5" bestFit="1" customWidth="1"/>
    <col min="11" max="11" width="51.5" bestFit="1" customWidth="1"/>
  </cols>
  <sheetData>
    <row r="1" spans="1:12" ht="16" thickBot="1" x14ac:dyDescent="0.25">
      <c r="B1" s="9"/>
    </row>
    <row r="2" spans="1:12" ht="16" thickBot="1" x14ac:dyDescent="0.25">
      <c r="A2" s="3"/>
      <c r="B2" s="14" t="s">
        <v>0</v>
      </c>
      <c r="C2" s="9"/>
      <c r="D2" s="9"/>
      <c r="E2" s="9"/>
      <c r="F2" s="9"/>
      <c r="G2" s="9"/>
      <c r="H2" s="9"/>
      <c r="I2" s="9"/>
    </row>
    <row r="3" spans="1:12" x14ac:dyDescent="0.2">
      <c r="A3" s="3"/>
      <c r="B3" s="13" t="s">
        <v>1</v>
      </c>
      <c r="C3" s="7">
        <v>0.2</v>
      </c>
      <c r="D3" s="7">
        <v>0.25</v>
      </c>
      <c r="E3" s="7">
        <v>0.3</v>
      </c>
      <c r="F3" s="7">
        <v>0.35</v>
      </c>
      <c r="G3" s="7">
        <v>0.4</v>
      </c>
      <c r="H3" s="15">
        <v>0.45</v>
      </c>
      <c r="I3" s="8">
        <v>0.5</v>
      </c>
      <c r="K3" s="1" t="s">
        <v>2</v>
      </c>
    </row>
    <row r="4" spans="1:12" x14ac:dyDescent="0.2">
      <c r="A4" s="3"/>
      <c r="B4" s="11" t="s">
        <v>3</v>
      </c>
      <c r="C4" s="10">
        <f>$L$4</f>
        <v>2.6</v>
      </c>
      <c r="D4" s="10">
        <f t="shared" ref="D4:I4" si="0">$L$4</f>
        <v>2.6</v>
      </c>
      <c r="E4" s="10">
        <f t="shared" si="0"/>
        <v>2.6</v>
      </c>
      <c r="F4" s="10">
        <f t="shared" si="0"/>
        <v>2.6</v>
      </c>
      <c r="G4" s="10">
        <f t="shared" si="0"/>
        <v>2.6</v>
      </c>
      <c r="H4" s="10">
        <f t="shared" si="0"/>
        <v>2.6</v>
      </c>
      <c r="I4" s="10">
        <f t="shared" si="0"/>
        <v>2.6</v>
      </c>
      <c r="K4" s="2" t="s">
        <v>3</v>
      </c>
      <c r="L4" s="2">
        <v>2.6</v>
      </c>
    </row>
    <row r="5" spans="1:12" x14ac:dyDescent="0.2">
      <c r="A5" s="3"/>
      <c r="B5" s="12"/>
      <c r="K5" s="2" t="s">
        <v>4</v>
      </c>
      <c r="L5" s="2">
        <v>15</v>
      </c>
    </row>
    <row r="6" spans="1:12" x14ac:dyDescent="0.2">
      <c r="A6" s="3"/>
      <c r="B6" s="11" t="s">
        <v>5</v>
      </c>
      <c r="C6" s="18">
        <f>C4/C3</f>
        <v>13</v>
      </c>
      <c r="D6" s="18">
        <f t="shared" ref="D6:I6" si="1">D4/D3</f>
        <v>10.4</v>
      </c>
      <c r="E6" s="18">
        <f t="shared" si="1"/>
        <v>8.6666666666666679</v>
      </c>
      <c r="F6" s="18">
        <f t="shared" si="1"/>
        <v>7.4285714285714297</v>
      </c>
      <c r="G6" s="18">
        <f t="shared" si="1"/>
        <v>6.5</v>
      </c>
      <c r="H6" s="18">
        <f t="shared" si="1"/>
        <v>5.7777777777777777</v>
      </c>
      <c r="I6" s="18">
        <f t="shared" si="1"/>
        <v>5.2</v>
      </c>
      <c r="K6" s="2" t="s">
        <v>6</v>
      </c>
      <c r="L6" s="2">
        <v>1.5</v>
      </c>
    </row>
    <row r="7" spans="1:12" x14ac:dyDescent="0.2">
      <c r="A7" s="3"/>
      <c r="B7" s="11" t="s">
        <v>7</v>
      </c>
      <c r="C7" s="10">
        <f>$L$5</f>
        <v>15</v>
      </c>
      <c r="D7" s="10">
        <f t="shared" ref="D7:I7" si="2">$L$5</f>
        <v>15</v>
      </c>
      <c r="E7" s="10">
        <f t="shared" si="2"/>
        <v>15</v>
      </c>
      <c r="F7" s="10">
        <f t="shared" si="2"/>
        <v>15</v>
      </c>
      <c r="G7" s="10">
        <f t="shared" si="2"/>
        <v>15</v>
      </c>
      <c r="H7" s="10">
        <f t="shared" si="2"/>
        <v>15</v>
      </c>
      <c r="I7" s="10">
        <f t="shared" si="2"/>
        <v>15</v>
      </c>
    </row>
    <row r="8" spans="1:12" x14ac:dyDescent="0.2">
      <c r="A8" s="3"/>
      <c r="B8" s="11" t="s">
        <v>8</v>
      </c>
      <c r="C8" s="18">
        <f>C7*C6</f>
        <v>195</v>
      </c>
      <c r="D8" s="18">
        <f t="shared" ref="D8:I8" si="3">D7*D6</f>
        <v>156</v>
      </c>
      <c r="E8" s="18">
        <f t="shared" si="3"/>
        <v>130.00000000000003</v>
      </c>
      <c r="F8" s="18">
        <f t="shared" si="3"/>
        <v>111.42857142857144</v>
      </c>
      <c r="G8" s="18">
        <f t="shared" si="3"/>
        <v>97.5</v>
      </c>
      <c r="H8" s="18">
        <f t="shared" si="3"/>
        <v>86.666666666666671</v>
      </c>
      <c r="I8" s="18">
        <f t="shared" si="3"/>
        <v>78</v>
      </c>
    </row>
    <row r="9" spans="1:12" x14ac:dyDescent="0.2">
      <c r="A9" s="3"/>
      <c r="B9" s="12"/>
    </row>
    <row r="10" spans="1:12" x14ac:dyDescent="0.2">
      <c r="A10" s="3"/>
      <c r="B10" s="11" t="s">
        <v>9</v>
      </c>
      <c r="C10" s="17">
        <f>C3/4</f>
        <v>0.05</v>
      </c>
      <c r="D10" s="17">
        <f t="shared" ref="D10:I10" si="4">D3/4</f>
        <v>6.25E-2</v>
      </c>
      <c r="E10" s="17">
        <f t="shared" si="4"/>
        <v>7.4999999999999997E-2</v>
      </c>
      <c r="F10" s="17">
        <f t="shared" si="4"/>
        <v>8.7499999999999994E-2</v>
      </c>
      <c r="G10" s="17">
        <f t="shared" si="4"/>
        <v>0.1</v>
      </c>
      <c r="H10" s="17">
        <f t="shared" si="4"/>
        <v>0.1125</v>
      </c>
      <c r="I10" s="17">
        <f t="shared" si="4"/>
        <v>0.125</v>
      </c>
    </row>
    <row r="11" spans="1:12" x14ac:dyDescent="0.2">
      <c r="A11" s="3"/>
      <c r="B11" s="11" t="s">
        <v>10</v>
      </c>
      <c r="C11" s="10">
        <v>3</v>
      </c>
      <c r="D11" s="10">
        <v>3</v>
      </c>
      <c r="E11" s="10">
        <v>3</v>
      </c>
      <c r="F11" s="10">
        <v>3</v>
      </c>
      <c r="G11" s="10">
        <v>3</v>
      </c>
      <c r="H11" s="10">
        <v>3</v>
      </c>
      <c r="I11" s="10">
        <v>3</v>
      </c>
    </row>
    <row r="12" spans="1:12" x14ac:dyDescent="0.2">
      <c r="A12" s="3"/>
      <c r="B12" s="11" t="s">
        <v>11</v>
      </c>
      <c r="C12" s="10">
        <f>C10/C11*60*60</f>
        <v>60</v>
      </c>
      <c r="D12" s="10">
        <f t="shared" ref="D12:I12" si="5">D10/D11*60*60</f>
        <v>75</v>
      </c>
      <c r="E12" s="10">
        <f t="shared" si="5"/>
        <v>89.999999999999986</v>
      </c>
      <c r="F12" s="10">
        <f t="shared" si="5"/>
        <v>104.99999999999999</v>
      </c>
      <c r="G12" s="10">
        <f t="shared" si="5"/>
        <v>120</v>
      </c>
      <c r="H12" s="10">
        <f t="shared" si="5"/>
        <v>135</v>
      </c>
      <c r="I12" s="10">
        <f t="shared" si="5"/>
        <v>150</v>
      </c>
    </row>
    <row r="13" spans="1:12" x14ac:dyDescent="0.2">
      <c r="A13" s="3"/>
      <c r="B13" s="11" t="s">
        <v>12</v>
      </c>
      <c r="C13" s="10">
        <f>C12</f>
        <v>60</v>
      </c>
      <c r="D13" s="10">
        <f t="shared" ref="D13:I13" si="6">D12</f>
        <v>75</v>
      </c>
      <c r="E13" s="10">
        <f t="shared" si="6"/>
        <v>89.999999999999986</v>
      </c>
      <c r="F13" s="10">
        <f t="shared" si="6"/>
        <v>104.99999999999999</v>
      </c>
      <c r="G13" s="10">
        <f t="shared" si="6"/>
        <v>120</v>
      </c>
      <c r="H13" s="10">
        <f t="shared" si="6"/>
        <v>135</v>
      </c>
      <c r="I13" s="10">
        <f t="shared" si="6"/>
        <v>150</v>
      </c>
    </row>
    <row r="14" spans="1:12" x14ac:dyDescent="0.2">
      <c r="A14" s="3"/>
      <c r="B14" s="11" t="s">
        <v>13</v>
      </c>
      <c r="C14" s="10">
        <f>C13+C12</f>
        <v>120</v>
      </c>
      <c r="D14" s="10">
        <f t="shared" ref="D14:I14" si="7">D13+D12</f>
        <v>150</v>
      </c>
      <c r="E14" s="10">
        <f t="shared" si="7"/>
        <v>179.99999999999997</v>
      </c>
      <c r="F14" s="10">
        <f t="shared" si="7"/>
        <v>209.99999999999997</v>
      </c>
      <c r="G14" s="10">
        <f t="shared" si="7"/>
        <v>240</v>
      </c>
      <c r="H14" s="10">
        <f t="shared" si="7"/>
        <v>270</v>
      </c>
      <c r="I14" s="10">
        <f t="shared" si="7"/>
        <v>300</v>
      </c>
    </row>
    <row r="15" spans="1:12" x14ac:dyDescent="0.2">
      <c r="A15" s="3"/>
      <c r="B15" s="11" t="s">
        <v>6</v>
      </c>
      <c r="C15" s="16">
        <f>$L$6</f>
        <v>1.5</v>
      </c>
      <c r="D15" s="16">
        <f t="shared" ref="D15:I15" si="8">$L$6</f>
        <v>1.5</v>
      </c>
      <c r="E15" s="16">
        <f t="shared" si="8"/>
        <v>1.5</v>
      </c>
      <c r="F15" s="16">
        <f t="shared" si="8"/>
        <v>1.5</v>
      </c>
      <c r="G15" s="16">
        <f t="shared" si="8"/>
        <v>1.5</v>
      </c>
      <c r="H15" s="16">
        <f t="shared" si="8"/>
        <v>1.5</v>
      </c>
      <c r="I15" s="16">
        <f t="shared" si="8"/>
        <v>1.5</v>
      </c>
    </row>
    <row r="16" spans="1:12" x14ac:dyDescent="0.2">
      <c r="A16" s="3"/>
      <c r="B16" s="11" t="s">
        <v>14</v>
      </c>
      <c r="C16" s="10">
        <f>C14*C15</f>
        <v>180</v>
      </c>
      <c r="D16" s="10">
        <f t="shared" ref="D16:I16" si="9">D14*D15</f>
        <v>225</v>
      </c>
      <c r="E16" s="10">
        <f t="shared" si="9"/>
        <v>269.99999999999994</v>
      </c>
      <c r="F16" s="10">
        <f t="shared" si="9"/>
        <v>314.99999999999994</v>
      </c>
      <c r="G16" s="10">
        <f t="shared" si="9"/>
        <v>360</v>
      </c>
      <c r="H16" s="10">
        <f t="shared" si="9"/>
        <v>405</v>
      </c>
      <c r="I16" s="10">
        <f t="shared" si="9"/>
        <v>450</v>
      </c>
    </row>
    <row r="17" spans="1:12" ht="16" thickBot="1" x14ac:dyDescent="0.25">
      <c r="A17" s="3"/>
      <c r="B17" s="4" t="s">
        <v>15</v>
      </c>
      <c r="C17" s="5">
        <f>C16+C8</f>
        <v>375</v>
      </c>
      <c r="D17" s="5">
        <f t="shared" ref="D17:I17" si="10">D16+D8</f>
        <v>381</v>
      </c>
      <c r="E17" s="5">
        <f t="shared" si="10"/>
        <v>400</v>
      </c>
      <c r="F17" s="5">
        <f t="shared" si="10"/>
        <v>426.42857142857139</v>
      </c>
      <c r="G17" s="5">
        <f t="shared" si="10"/>
        <v>457.5</v>
      </c>
      <c r="H17" s="5">
        <f t="shared" si="10"/>
        <v>491.66666666666669</v>
      </c>
      <c r="I17" s="5">
        <f t="shared" si="10"/>
        <v>528</v>
      </c>
    </row>
    <row r="20" spans="1:12" ht="16" thickBot="1" x14ac:dyDescent="0.25"/>
    <row r="21" spans="1:12" ht="16" thickBot="1" x14ac:dyDescent="0.25">
      <c r="B21" s="14" t="s">
        <v>16</v>
      </c>
      <c r="C21" s="9"/>
      <c r="D21" s="9"/>
      <c r="E21" s="9"/>
      <c r="F21" s="9"/>
      <c r="G21" s="9"/>
      <c r="H21" s="9"/>
      <c r="I21" s="9"/>
    </row>
    <row r="22" spans="1:12" x14ac:dyDescent="0.2">
      <c r="B22" s="13" t="s">
        <v>1</v>
      </c>
      <c r="C22" s="7">
        <v>0.2</v>
      </c>
      <c r="D22" s="7">
        <v>0.25</v>
      </c>
      <c r="E22" s="7">
        <v>0.3</v>
      </c>
      <c r="F22" s="7">
        <v>0.35</v>
      </c>
      <c r="G22" s="7">
        <v>0.4</v>
      </c>
      <c r="H22" s="15">
        <v>0.45</v>
      </c>
      <c r="I22" s="8">
        <v>0.5</v>
      </c>
      <c r="K22" s="1" t="s">
        <v>2</v>
      </c>
    </row>
    <row r="23" spans="1:12" x14ac:dyDescent="0.2">
      <c r="B23" s="11" t="s">
        <v>3</v>
      </c>
      <c r="C23" s="16">
        <f>$L$23</f>
        <v>4.5999999999999996</v>
      </c>
      <c r="D23" s="16">
        <f t="shared" ref="D23:I23" si="11">$L$23</f>
        <v>4.5999999999999996</v>
      </c>
      <c r="E23" s="16">
        <f t="shared" si="11"/>
        <v>4.5999999999999996</v>
      </c>
      <c r="F23" s="16">
        <f t="shared" si="11"/>
        <v>4.5999999999999996</v>
      </c>
      <c r="G23" s="16">
        <f t="shared" si="11"/>
        <v>4.5999999999999996</v>
      </c>
      <c r="H23" s="16">
        <f t="shared" si="11"/>
        <v>4.5999999999999996</v>
      </c>
      <c r="I23" s="16">
        <f t="shared" si="11"/>
        <v>4.5999999999999996</v>
      </c>
      <c r="K23" s="2" t="s">
        <v>3</v>
      </c>
      <c r="L23" s="19">
        <v>4.5999999999999996</v>
      </c>
    </row>
    <row r="24" spans="1:12" x14ac:dyDescent="0.2">
      <c r="B24" s="12"/>
      <c r="K24" s="2" t="s">
        <v>4</v>
      </c>
      <c r="L24" s="2">
        <v>15</v>
      </c>
    </row>
    <row r="25" spans="1:12" x14ac:dyDescent="0.2">
      <c r="B25" s="11" t="s">
        <v>5</v>
      </c>
      <c r="C25" s="18">
        <f>C23/C22</f>
        <v>22.999999999999996</v>
      </c>
      <c r="D25" s="18">
        <f t="shared" ref="D25:I25" si="12">D23/D22</f>
        <v>18.399999999999999</v>
      </c>
      <c r="E25" s="18">
        <f t="shared" si="12"/>
        <v>15.333333333333332</v>
      </c>
      <c r="F25" s="18">
        <f t="shared" si="12"/>
        <v>13.142857142857142</v>
      </c>
      <c r="G25" s="18">
        <f t="shared" si="12"/>
        <v>11.499999999999998</v>
      </c>
      <c r="H25" s="18">
        <f t="shared" si="12"/>
        <v>10.222222222222221</v>
      </c>
      <c r="I25" s="18">
        <f t="shared" si="12"/>
        <v>9.1999999999999993</v>
      </c>
      <c r="K25" s="2" t="s">
        <v>6</v>
      </c>
      <c r="L25" s="2">
        <v>1.5</v>
      </c>
    </row>
    <row r="26" spans="1:12" x14ac:dyDescent="0.2">
      <c r="B26" s="11" t="s">
        <v>7</v>
      </c>
      <c r="C26" s="18">
        <f>$L$24</f>
        <v>15</v>
      </c>
      <c r="D26" s="18">
        <f t="shared" ref="D26:I26" si="13">$L$24</f>
        <v>15</v>
      </c>
      <c r="E26" s="18">
        <f t="shared" si="13"/>
        <v>15</v>
      </c>
      <c r="F26" s="18">
        <f t="shared" si="13"/>
        <v>15</v>
      </c>
      <c r="G26" s="18">
        <f t="shared" si="13"/>
        <v>15</v>
      </c>
      <c r="H26" s="18">
        <f t="shared" si="13"/>
        <v>15</v>
      </c>
      <c r="I26" s="18">
        <f t="shared" si="13"/>
        <v>15</v>
      </c>
    </row>
    <row r="27" spans="1:12" x14ac:dyDescent="0.2">
      <c r="B27" s="11" t="s">
        <v>8</v>
      </c>
      <c r="C27" s="18">
        <f>C26*C25</f>
        <v>344.99999999999994</v>
      </c>
      <c r="D27" s="18">
        <f t="shared" ref="D27:I27" si="14">D26*D25</f>
        <v>276</v>
      </c>
      <c r="E27" s="18">
        <f t="shared" si="14"/>
        <v>229.99999999999997</v>
      </c>
      <c r="F27" s="18">
        <f t="shared" si="14"/>
        <v>197.14285714285714</v>
      </c>
      <c r="G27" s="18">
        <f t="shared" si="14"/>
        <v>172.49999999999997</v>
      </c>
      <c r="H27" s="18">
        <f t="shared" si="14"/>
        <v>153.33333333333331</v>
      </c>
      <c r="I27" s="18">
        <f t="shared" si="14"/>
        <v>138</v>
      </c>
    </row>
    <row r="28" spans="1:12" x14ac:dyDescent="0.2">
      <c r="B28" s="12"/>
    </row>
    <row r="29" spans="1:12" x14ac:dyDescent="0.2">
      <c r="B29" s="11" t="s">
        <v>9</v>
      </c>
      <c r="C29" s="17">
        <f>C22/4</f>
        <v>0.05</v>
      </c>
      <c r="D29" s="17">
        <f t="shared" ref="D29:I29" si="15">D22/4</f>
        <v>6.25E-2</v>
      </c>
      <c r="E29" s="17">
        <f t="shared" si="15"/>
        <v>7.4999999999999997E-2</v>
      </c>
      <c r="F29" s="17">
        <f t="shared" si="15"/>
        <v>8.7499999999999994E-2</v>
      </c>
      <c r="G29" s="17">
        <f t="shared" si="15"/>
        <v>0.1</v>
      </c>
      <c r="H29" s="17">
        <f t="shared" si="15"/>
        <v>0.1125</v>
      </c>
      <c r="I29" s="17">
        <f t="shared" si="15"/>
        <v>0.125</v>
      </c>
    </row>
    <row r="30" spans="1:12" x14ac:dyDescent="0.2">
      <c r="B30" s="11" t="s">
        <v>10</v>
      </c>
      <c r="C30" s="18">
        <v>3</v>
      </c>
      <c r="D30" s="18">
        <v>3</v>
      </c>
      <c r="E30" s="18">
        <v>3</v>
      </c>
      <c r="F30" s="18">
        <v>3</v>
      </c>
      <c r="G30" s="18">
        <v>3</v>
      </c>
      <c r="H30" s="18">
        <v>3</v>
      </c>
      <c r="I30" s="18">
        <v>3</v>
      </c>
    </row>
    <row r="31" spans="1:12" x14ac:dyDescent="0.2">
      <c r="B31" s="11" t="s">
        <v>11</v>
      </c>
      <c r="C31" s="18">
        <f>C29/C30*60*60</f>
        <v>60</v>
      </c>
      <c r="D31" s="18">
        <f t="shared" ref="D31:I31" si="16">D29/D30*60*60</f>
        <v>75</v>
      </c>
      <c r="E31" s="18">
        <f t="shared" si="16"/>
        <v>89.999999999999986</v>
      </c>
      <c r="F31" s="18">
        <f t="shared" si="16"/>
        <v>104.99999999999999</v>
      </c>
      <c r="G31" s="18">
        <f t="shared" si="16"/>
        <v>120</v>
      </c>
      <c r="H31" s="18">
        <f t="shared" si="16"/>
        <v>135</v>
      </c>
      <c r="I31" s="18">
        <f t="shared" si="16"/>
        <v>150</v>
      </c>
    </row>
    <row r="32" spans="1:12" x14ac:dyDescent="0.2">
      <c r="B32" s="11" t="s">
        <v>12</v>
      </c>
      <c r="C32" s="18">
        <f>C31</f>
        <v>60</v>
      </c>
      <c r="D32" s="18">
        <f t="shared" ref="D32:I32" si="17">D31</f>
        <v>75</v>
      </c>
      <c r="E32" s="18">
        <f t="shared" si="17"/>
        <v>89.999999999999986</v>
      </c>
      <c r="F32" s="18">
        <f t="shared" si="17"/>
        <v>104.99999999999999</v>
      </c>
      <c r="G32" s="18">
        <f t="shared" si="17"/>
        <v>120</v>
      </c>
      <c r="H32" s="18">
        <f t="shared" si="17"/>
        <v>135</v>
      </c>
      <c r="I32" s="18">
        <f t="shared" si="17"/>
        <v>150</v>
      </c>
    </row>
    <row r="33" spans="2:9" x14ac:dyDescent="0.2">
      <c r="B33" s="11" t="s">
        <v>13</v>
      </c>
      <c r="C33" s="18">
        <f>C32+C31</f>
        <v>120</v>
      </c>
      <c r="D33" s="18">
        <f t="shared" ref="D33:I33" si="18">D32+D31</f>
        <v>150</v>
      </c>
      <c r="E33" s="18">
        <f t="shared" si="18"/>
        <v>179.99999999999997</v>
      </c>
      <c r="F33" s="18">
        <f t="shared" si="18"/>
        <v>209.99999999999997</v>
      </c>
      <c r="G33" s="18">
        <f t="shared" si="18"/>
        <v>240</v>
      </c>
      <c r="H33" s="18">
        <f t="shared" si="18"/>
        <v>270</v>
      </c>
      <c r="I33" s="18">
        <f t="shared" si="18"/>
        <v>300</v>
      </c>
    </row>
    <row r="34" spans="2:9" x14ac:dyDescent="0.2">
      <c r="B34" s="11" t="s">
        <v>6</v>
      </c>
      <c r="C34" s="16">
        <f>$L$25</f>
        <v>1.5</v>
      </c>
      <c r="D34" s="16">
        <f t="shared" ref="D34:I34" si="19">$L$25</f>
        <v>1.5</v>
      </c>
      <c r="E34" s="16">
        <f t="shared" si="19"/>
        <v>1.5</v>
      </c>
      <c r="F34" s="16">
        <f t="shared" si="19"/>
        <v>1.5</v>
      </c>
      <c r="G34" s="16">
        <f t="shared" si="19"/>
        <v>1.5</v>
      </c>
      <c r="H34" s="16">
        <f t="shared" si="19"/>
        <v>1.5</v>
      </c>
      <c r="I34" s="16">
        <f t="shared" si="19"/>
        <v>1.5</v>
      </c>
    </row>
    <row r="35" spans="2:9" x14ac:dyDescent="0.2">
      <c r="B35" s="11" t="s">
        <v>14</v>
      </c>
      <c r="C35" s="18">
        <f>C33*C34</f>
        <v>180</v>
      </c>
      <c r="D35" s="18">
        <f t="shared" ref="D35:I35" si="20">D33*D34</f>
        <v>225</v>
      </c>
      <c r="E35" s="18">
        <f t="shared" si="20"/>
        <v>269.99999999999994</v>
      </c>
      <c r="F35" s="18">
        <f t="shared" si="20"/>
        <v>314.99999999999994</v>
      </c>
      <c r="G35" s="18">
        <f t="shared" si="20"/>
        <v>360</v>
      </c>
      <c r="H35" s="18">
        <f t="shared" si="20"/>
        <v>405</v>
      </c>
      <c r="I35" s="18">
        <f t="shared" si="20"/>
        <v>450</v>
      </c>
    </row>
    <row r="36" spans="2:9" ht="16" thickBot="1" x14ac:dyDescent="0.25">
      <c r="B36" s="4" t="s">
        <v>15</v>
      </c>
      <c r="C36" s="6">
        <f>C35+C27</f>
        <v>525</v>
      </c>
      <c r="D36" s="6">
        <f t="shared" ref="D36:I36" si="21">D35+D27</f>
        <v>501</v>
      </c>
      <c r="E36" s="6">
        <f t="shared" si="21"/>
        <v>499.99999999999989</v>
      </c>
      <c r="F36" s="6">
        <f t="shared" si="21"/>
        <v>512.14285714285711</v>
      </c>
      <c r="G36" s="6">
        <f t="shared" si="21"/>
        <v>532.5</v>
      </c>
      <c r="H36" s="6">
        <f t="shared" si="21"/>
        <v>558.33333333333326</v>
      </c>
      <c r="I36" s="6">
        <f t="shared" si="21"/>
        <v>588</v>
      </c>
    </row>
  </sheetData>
  <conditionalFormatting sqref="C17:I17">
    <cfRule type="top10" dxfId="41" priority="3" percent="1" bottom="1" rank="10"/>
  </conditionalFormatting>
  <conditionalFormatting sqref="C36:I36">
    <cfRule type="top10" dxfId="40" priority="1" percent="1" bottom="1" rank="10"/>
  </conditionalFormatting>
  <pageMargins left="0.7" right="0.7" top="0.75" bottom="0.75" header="0.3" footer="0.3"/>
  <pageSetup paperSize="17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</sheetPr>
  <dimension ref="A2:P90"/>
  <sheetViews>
    <sheetView showGridLines="0" view="pageLayout" topLeftCell="A10" workbookViewId="0">
      <selection activeCell="B3" sqref="B3"/>
    </sheetView>
  </sheetViews>
  <sheetFormatPr baseColWidth="10" defaultColWidth="8.83203125" defaultRowHeight="15" x14ac:dyDescent="0.2"/>
  <cols>
    <col min="1" max="1" width="6.6640625" customWidth="1"/>
    <col min="2" max="2" width="33" customWidth="1"/>
    <col min="3" max="3" width="7.5" customWidth="1"/>
    <col min="4" max="10" width="6.6640625" customWidth="1"/>
    <col min="11" max="11" width="7.5" customWidth="1"/>
    <col min="12" max="12" width="6.6640625" customWidth="1"/>
    <col min="13" max="13" width="8.6640625" customWidth="1"/>
    <col min="14" max="14" width="10.1640625" customWidth="1"/>
  </cols>
  <sheetData>
    <row r="2" spans="1:14" x14ac:dyDescent="0.2">
      <c r="A2" s="87" t="s">
        <v>2</v>
      </c>
      <c r="C2" s="35"/>
      <c r="E2" s="22"/>
      <c r="J2" s="22" t="s">
        <v>17</v>
      </c>
      <c r="M2" s="22" t="s">
        <v>69</v>
      </c>
    </row>
    <row r="3" spans="1:14" x14ac:dyDescent="0.2">
      <c r="A3" s="34" t="s">
        <v>75</v>
      </c>
      <c r="B3" s="39"/>
      <c r="C3" s="92">
        <v>15</v>
      </c>
      <c r="D3" s="83"/>
      <c r="E3" s="84"/>
      <c r="H3" s="84"/>
      <c r="I3" s="84"/>
      <c r="J3" s="39" t="s">
        <v>19</v>
      </c>
      <c r="K3" s="85">
        <f>AVERAGE(K10:K27)</f>
        <v>0.25277777777777771</v>
      </c>
      <c r="M3" s="39" t="s">
        <v>70</v>
      </c>
      <c r="N3" s="97">
        <f>'Est. Annual RR Trips'!G10</f>
        <v>44590</v>
      </c>
    </row>
    <row r="4" spans="1:14" x14ac:dyDescent="0.2">
      <c r="A4" s="39" t="s">
        <v>6</v>
      </c>
      <c r="B4" s="39"/>
      <c r="C4" s="92">
        <v>1.5</v>
      </c>
      <c r="D4" s="84"/>
      <c r="E4" s="84"/>
      <c r="H4" s="84"/>
      <c r="I4" s="84"/>
      <c r="J4" s="39" t="s">
        <v>20</v>
      </c>
      <c r="K4" s="85">
        <f>MEDIAN(K10:K27)</f>
        <v>0.25</v>
      </c>
      <c r="L4" s="84"/>
      <c r="M4" s="90" t="s">
        <v>90</v>
      </c>
    </row>
    <row r="5" spans="1:14" x14ac:dyDescent="0.2">
      <c r="A5" s="39" t="s">
        <v>21</v>
      </c>
      <c r="B5" s="39"/>
      <c r="C5" s="39">
        <v>3</v>
      </c>
      <c r="D5" s="84"/>
      <c r="E5" s="84"/>
      <c r="H5" s="84"/>
      <c r="I5" s="84"/>
      <c r="J5" s="39" t="s">
        <v>22</v>
      </c>
      <c r="K5" s="85">
        <f>_xlfn.MODE.SNGL(K10:K27)</f>
        <v>0.3</v>
      </c>
      <c r="L5" s="84"/>
      <c r="M5" s="84"/>
    </row>
    <row r="7" spans="1:14" ht="4.25" customHeight="1" x14ac:dyDescent="0.2"/>
    <row r="8" spans="1:14" ht="31.25" customHeight="1" x14ac:dyDescent="0.2">
      <c r="C8" s="79" t="s">
        <v>88</v>
      </c>
      <c r="D8" s="66" t="s">
        <v>83</v>
      </c>
      <c r="E8" s="67"/>
      <c r="F8" s="67"/>
      <c r="G8" s="67"/>
      <c r="H8" s="67"/>
      <c r="I8" s="67"/>
      <c r="J8" s="67"/>
      <c r="K8" s="65"/>
      <c r="L8" s="38"/>
      <c r="M8" s="37"/>
      <c r="N8" s="37"/>
    </row>
    <row r="9" spans="1:14" ht="43.25" customHeight="1" x14ac:dyDescent="0.2">
      <c r="A9" s="51" t="s">
        <v>23</v>
      </c>
      <c r="B9" s="51" t="s">
        <v>24</v>
      </c>
      <c r="C9" s="52" t="s">
        <v>84</v>
      </c>
      <c r="D9" s="53">
        <v>0.2</v>
      </c>
      <c r="E9" s="54">
        <v>0.25</v>
      </c>
      <c r="F9" s="54">
        <v>0.3</v>
      </c>
      <c r="G9" s="54">
        <v>0.35</v>
      </c>
      <c r="H9" s="54">
        <v>0.4</v>
      </c>
      <c r="I9" s="54">
        <v>0.45</v>
      </c>
      <c r="J9" s="54">
        <v>0.5</v>
      </c>
      <c r="K9" s="68" t="s">
        <v>45</v>
      </c>
      <c r="L9" s="75" t="s">
        <v>52</v>
      </c>
      <c r="M9" s="76" t="s">
        <v>94</v>
      </c>
      <c r="N9" s="76" t="s">
        <v>71</v>
      </c>
    </row>
    <row r="10" spans="1:14" x14ac:dyDescent="0.2">
      <c r="A10" s="55">
        <v>1059</v>
      </c>
      <c r="B10" s="39" t="s">
        <v>86</v>
      </c>
      <c r="C10" s="56">
        <v>1.4</v>
      </c>
      <c r="D10" s="69">
        <f t="shared" ref="D10:D27" si="0">IFERROR(($C10/D$9*$C$3)+(D$9/4)/$C$5*60*60*$C$4*2, 0)</f>
        <v>285</v>
      </c>
      <c r="E10" s="70">
        <f t="shared" ref="E10:J19" si="1">($C10/E$9*$C$3)+(E$9/4)/$C$5*60*60*$C$4*2</f>
        <v>309</v>
      </c>
      <c r="F10" s="70">
        <f t="shared" si="1"/>
        <v>339.99999999999994</v>
      </c>
      <c r="G10" s="70">
        <f t="shared" si="1"/>
        <v>374.99999999999994</v>
      </c>
      <c r="H10" s="70">
        <f t="shared" si="1"/>
        <v>412.5</v>
      </c>
      <c r="I10" s="70">
        <f t="shared" si="1"/>
        <v>451.66666666666663</v>
      </c>
      <c r="J10" s="71">
        <f t="shared" si="1"/>
        <v>492</v>
      </c>
      <c r="K10" s="57">
        <f t="shared" ref="K10:K27" si="2">INDEX($D$9:$J$9, 1, MATCH(MIN(D10:J10), D10:J10, 0))</f>
        <v>0.2</v>
      </c>
      <c r="L10" s="93">
        <v>2</v>
      </c>
      <c r="M10" s="95">
        <f>((L10/K10)*$C$3)-((L10/0.5)*$C$3)</f>
        <v>90</v>
      </c>
      <c r="N10" s="58">
        <f t="shared" ref="N10:N27" si="3">M10*$N$3/(60*60)</f>
        <v>1114.75</v>
      </c>
    </row>
    <row r="11" spans="1:14" x14ac:dyDescent="0.2">
      <c r="A11" s="55">
        <v>1012</v>
      </c>
      <c r="B11" s="39" t="s">
        <v>29</v>
      </c>
      <c r="C11" s="59">
        <v>2</v>
      </c>
      <c r="D11" s="72">
        <f t="shared" si="0"/>
        <v>330</v>
      </c>
      <c r="E11" s="73">
        <f t="shared" si="1"/>
        <v>345</v>
      </c>
      <c r="F11" s="73">
        <f t="shared" si="1"/>
        <v>369.99999999999994</v>
      </c>
      <c r="G11" s="73">
        <f t="shared" si="1"/>
        <v>400.71428571428567</v>
      </c>
      <c r="H11" s="73">
        <f t="shared" si="1"/>
        <v>435</v>
      </c>
      <c r="I11" s="73">
        <f t="shared" si="1"/>
        <v>471.66666666666669</v>
      </c>
      <c r="J11" s="74">
        <f t="shared" si="1"/>
        <v>510</v>
      </c>
      <c r="K11" s="55">
        <f t="shared" si="2"/>
        <v>0.2</v>
      </c>
      <c r="L11" s="94">
        <v>6</v>
      </c>
      <c r="M11" s="96">
        <f t="shared" ref="M11:M27" si="4">((L11/K11)*$C$3)-((L11/0.5)*$C$3)</f>
        <v>270</v>
      </c>
      <c r="N11" s="58">
        <f t="shared" si="3"/>
        <v>3344.25</v>
      </c>
    </row>
    <row r="12" spans="1:14" x14ac:dyDescent="0.2">
      <c r="A12" s="55">
        <v>1013</v>
      </c>
      <c r="B12" s="39" t="s">
        <v>37</v>
      </c>
      <c r="C12" s="59">
        <v>2.2999999999999998</v>
      </c>
      <c r="D12" s="72">
        <f t="shared" si="0"/>
        <v>352.5</v>
      </c>
      <c r="E12" s="73">
        <f t="shared" si="1"/>
        <v>363</v>
      </c>
      <c r="F12" s="73">
        <f t="shared" si="1"/>
        <v>384.99999999999994</v>
      </c>
      <c r="G12" s="73">
        <f t="shared" si="1"/>
        <v>413.5714285714285</v>
      </c>
      <c r="H12" s="73">
        <f t="shared" si="1"/>
        <v>446.25</v>
      </c>
      <c r="I12" s="73">
        <f t="shared" si="1"/>
        <v>481.66666666666663</v>
      </c>
      <c r="J12" s="74">
        <f t="shared" si="1"/>
        <v>519</v>
      </c>
      <c r="K12" s="55">
        <f t="shared" si="2"/>
        <v>0.2</v>
      </c>
      <c r="L12" s="94">
        <v>7</v>
      </c>
      <c r="M12" s="96">
        <f t="shared" si="4"/>
        <v>315</v>
      </c>
      <c r="N12" s="58">
        <f t="shared" si="3"/>
        <v>3901.625</v>
      </c>
    </row>
    <row r="13" spans="1:14" x14ac:dyDescent="0.2">
      <c r="A13" s="55">
        <v>1063</v>
      </c>
      <c r="B13" s="77" t="s">
        <v>87</v>
      </c>
      <c r="C13" s="78">
        <v>2.6</v>
      </c>
      <c r="D13" s="72">
        <f t="shared" si="0"/>
        <v>375</v>
      </c>
      <c r="E13" s="73">
        <f t="shared" si="1"/>
        <v>381</v>
      </c>
      <c r="F13" s="73">
        <f t="shared" si="1"/>
        <v>400</v>
      </c>
      <c r="G13" s="73">
        <f t="shared" si="1"/>
        <v>426.42857142857139</v>
      </c>
      <c r="H13" s="73">
        <f t="shared" si="1"/>
        <v>457.5</v>
      </c>
      <c r="I13" s="73">
        <f t="shared" si="1"/>
        <v>491.66666666666669</v>
      </c>
      <c r="J13" s="74">
        <f t="shared" si="1"/>
        <v>528</v>
      </c>
      <c r="K13" s="55">
        <f t="shared" si="2"/>
        <v>0.2</v>
      </c>
      <c r="L13" s="94">
        <v>11</v>
      </c>
      <c r="M13" s="96">
        <f t="shared" si="4"/>
        <v>495</v>
      </c>
      <c r="N13" s="58">
        <f t="shared" si="3"/>
        <v>6131.125</v>
      </c>
    </row>
    <row r="14" spans="1:14" x14ac:dyDescent="0.2">
      <c r="A14" s="55">
        <v>674</v>
      </c>
      <c r="B14" s="77" t="s">
        <v>33</v>
      </c>
      <c r="C14" s="59">
        <v>2.9</v>
      </c>
      <c r="D14" s="72">
        <f t="shared" si="0"/>
        <v>397.5</v>
      </c>
      <c r="E14" s="73">
        <f t="shared" si="1"/>
        <v>399</v>
      </c>
      <c r="F14" s="73">
        <f t="shared" si="1"/>
        <v>414.99999999999994</v>
      </c>
      <c r="G14" s="73">
        <f t="shared" si="1"/>
        <v>439.28571428571422</v>
      </c>
      <c r="H14" s="73">
        <f t="shared" si="1"/>
        <v>468.75</v>
      </c>
      <c r="I14" s="73">
        <f t="shared" si="1"/>
        <v>501.66666666666663</v>
      </c>
      <c r="J14" s="74">
        <f t="shared" si="1"/>
        <v>537</v>
      </c>
      <c r="K14" s="55">
        <f t="shared" si="2"/>
        <v>0.2</v>
      </c>
      <c r="L14" s="94">
        <v>9</v>
      </c>
      <c r="M14" s="96">
        <f t="shared" si="4"/>
        <v>405</v>
      </c>
      <c r="N14" s="58">
        <f t="shared" si="3"/>
        <v>5016.375</v>
      </c>
    </row>
    <row r="15" spans="1:14" x14ac:dyDescent="0.2">
      <c r="A15" s="55" t="s">
        <v>27</v>
      </c>
      <c r="B15" s="39" t="s">
        <v>28</v>
      </c>
      <c r="C15" s="59">
        <v>3</v>
      </c>
      <c r="D15" s="72">
        <f t="shared" si="0"/>
        <v>405</v>
      </c>
      <c r="E15" s="73">
        <f t="shared" si="1"/>
        <v>405</v>
      </c>
      <c r="F15" s="73">
        <f t="shared" si="1"/>
        <v>419.99999999999994</v>
      </c>
      <c r="G15" s="73">
        <f t="shared" si="1"/>
        <v>443.5714285714285</v>
      </c>
      <c r="H15" s="73">
        <f t="shared" si="1"/>
        <v>472.5</v>
      </c>
      <c r="I15" s="73">
        <f t="shared" si="1"/>
        <v>505</v>
      </c>
      <c r="J15" s="74">
        <f t="shared" si="1"/>
        <v>540</v>
      </c>
      <c r="K15" s="55">
        <f t="shared" si="2"/>
        <v>0.2</v>
      </c>
      <c r="L15" s="94">
        <v>14</v>
      </c>
      <c r="M15" s="96">
        <f t="shared" si="4"/>
        <v>630</v>
      </c>
      <c r="N15" s="58">
        <f t="shared" si="3"/>
        <v>7803.25</v>
      </c>
    </row>
    <row r="16" spans="1:14" x14ac:dyDescent="0.2">
      <c r="A16" s="55">
        <v>672</v>
      </c>
      <c r="B16" s="39" t="s">
        <v>31</v>
      </c>
      <c r="C16" s="59">
        <v>3.4</v>
      </c>
      <c r="D16" s="72">
        <f t="shared" si="0"/>
        <v>435</v>
      </c>
      <c r="E16" s="73">
        <f t="shared" si="1"/>
        <v>429</v>
      </c>
      <c r="F16" s="73">
        <f t="shared" si="1"/>
        <v>439.99999999999994</v>
      </c>
      <c r="G16" s="73">
        <f t="shared" si="1"/>
        <v>460.71428571428567</v>
      </c>
      <c r="H16" s="73">
        <f t="shared" si="1"/>
        <v>487.5</v>
      </c>
      <c r="I16" s="73">
        <f t="shared" si="1"/>
        <v>518.33333333333337</v>
      </c>
      <c r="J16" s="74">
        <f t="shared" si="1"/>
        <v>552</v>
      </c>
      <c r="K16" s="55">
        <f t="shared" si="2"/>
        <v>0.25</v>
      </c>
      <c r="L16" s="94">
        <v>3</v>
      </c>
      <c r="M16" s="96">
        <f t="shared" si="4"/>
        <v>90</v>
      </c>
      <c r="N16" s="58">
        <f t="shared" si="3"/>
        <v>1114.75</v>
      </c>
    </row>
    <row r="17" spans="1:16" x14ac:dyDescent="0.2">
      <c r="A17" s="55">
        <v>1009</v>
      </c>
      <c r="B17" s="39" t="s">
        <v>26</v>
      </c>
      <c r="C17" s="78">
        <v>3.7</v>
      </c>
      <c r="D17" s="72">
        <f t="shared" si="0"/>
        <v>457.5</v>
      </c>
      <c r="E17" s="73">
        <f t="shared" si="1"/>
        <v>447</v>
      </c>
      <c r="F17" s="73">
        <f t="shared" si="1"/>
        <v>454.99999999999994</v>
      </c>
      <c r="G17" s="73">
        <f t="shared" si="1"/>
        <v>473.57142857142856</v>
      </c>
      <c r="H17" s="73">
        <f t="shared" si="1"/>
        <v>498.75</v>
      </c>
      <c r="I17" s="73">
        <f t="shared" si="1"/>
        <v>528.33333333333337</v>
      </c>
      <c r="J17" s="74">
        <f t="shared" si="1"/>
        <v>561</v>
      </c>
      <c r="K17" s="55">
        <f t="shared" si="2"/>
        <v>0.25</v>
      </c>
      <c r="L17" s="94">
        <v>15</v>
      </c>
      <c r="M17" s="96">
        <f t="shared" si="4"/>
        <v>450</v>
      </c>
      <c r="N17" s="58">
        <f t="shared" si="3"/>
        <v>5573.75</v>
      </c>
    </row>
    <row r="18" spans="1:16" x14ac:dyDescent="0.2">
      <c r="A18" s="55">
        <v>676</v>
      </c>
      <c r="B18" s="39" t="s">
        <v>35</v>
      </c>
      <c r="C18" s="59">
        <v>3.8</v>
      </c>
      <c r="D18" s="72">
        <f t="shared" si="0"/>
        <v>464.99999999999994</v>
      </c>
      <c r="E18" s="73">
        <f t="shared" si="1"/>
        <v>453</v>
      </c>
      <c r="F18" s="73">
        <f t="shared" si="1"/>
        <v>459.99999999999994</v>
      </c>
      <c r="G18" s="73">
        <f t="shared" si="1"/>
        <v>477.85714285714278</v>
      </c>
      <c r="H18" s="73">
        <f t="shared" si="1"/>
        <v>502.5</v>
      </c>
      <c r="I18" s="73">
        <f t="shared" si="1"/>
        <v>531.66666666666663</v>
      </c>
      <c r="J18" s="74">
        <f t="shared" si="1"/>
        <v>564</v>
      </c>
      <c r="K18" s="55">
        <f t="shared" si="2"/>
        <v>0.25</v>
      </c>
      <c r="L18" s="94">
        <v>13</v>
      </c>
      <c r="M18" s="96">
        <f t="shared" si="4"/>
        <v>390</v>
      </c>
      <c r="N18" s="58">
        <f t="shared" si="3"/>
        <v>4830.583333333333</v>
      </c>
    </row>
    <row r="19" spans="1:16" x14ac:dyDescent="0.2">
      <c r="A19" s="55">
        <v>671</v>
      </c>
      <c r="B19" s="39" t="s">
        <v>30</v>
      </c>
      <c r="C19" s="59">
        <v>4</v>
      </c>
      <c r="D19" s="72">
        <f t="shared" si="0"/>
        <v>480</v>
      </c>
      <c r="E19" s="73">
        <f t="shared" si="1"/>
        <v>465</v>
      </c>
      <c r="F19" s="73">
        <f t="shared" si="1"/>
        <v>469.99999999999994</v>
      </c>
      <c r="G19" s="73">
        <f t="shared" si="1"/>
        <v>486.42857142857139</v>
      </c>
      <c r="H19" s="73">
        <f t="shared" si="1"/>
        <v>510</v>
      </c>
      <c r="I19" s="73">
        <f t="shared" si="1"/>
        <v>538.33333333333337</v>
      </c>
      <c r="J19" s="74">
        <f t="shared" si="1"/>
        <v>570</v>
      </c>
      <c r="K19" s="55">
        <f t="shared" si="2"/>
        <v>0.25</v>
      </c>
      <c r="L19" s="94">
        <v>12</v>
      </c>
      <c r="M19" s="96">
        <f t="shared" si="4"/>
        <v>360</v>
      </c>
      <c r="N19" s="58">
        <f t="shared" si="3"/>
        <v>4459</v>
      </c>
    </row>
    <row r="20" spans="1:16" x14ac:dyDescent="0.2">
      <c r="A20" s="55">
        <v>1030</v>
      </c>
      <c r="B20" s="39" t="s">
        <v>39</v>
      </c>
      <c r="C20" s="59">
        <v>4.3</v>
      </c>
      <c r="D20" s="72">
        <f t="shared" si="0"/>
        <v>502.49999999999994</v>
      </c>
      <c r="E20" s="73">
        <f t="shared" ref="E20:J27" si="5">($C20/E$9*$C$3)+(E$9/4)/$C$5*60*60*$C$4*2</f>
        <v>483</v>
      </c>
      <c r="F20" s="73">
        <f t="shared" si="5"/>
        <v>484.99999999999994</v>
      </c>
      <c r="G20" s="73">
        <f t="shared" si="5"/>
        <v>499.28571428571422</v>
      </c>
      <c r="H20" s="73">
        <f t="shared" si="5"/>
        <v>521.25</v>
      </c>
      <c r="I20" s="73">
        <f t="shared" si="5"/>
        <v>548.33333333333337</v>
      </c>
      <c r="J20" s="74">
        <f t="shared" si="5"/>
        <v>579</v>
      </c>
      <c r="K20" s="55">
        <f t="shared" si="2"/>
        <v>0.25</v>
      </c>
      <c r="L20" s="94">
        <v>18</v>
      </c>
      <c r="M20" s="96">
        <f t="shared" si="4"/>
        <v>540</v>
      </c>
      <c r="N20" s="58">
        <f t="shared" si="3"/>
        <v>6688.5</v>
      </c>
      <c r="P20" s="91" t="s">
        <v>91</v>
      </c>
    </row>
    <row r="21" spans="1:16" x14ac:dyDescent="0.2">
      <c r="A21" s="55">
        <v>1056</v>
      </c>
      <c r="B21" s="39" t="s">
        <v>41</v>
      </c>
      <c r="C21" s="59">
        <v>4.5</v>
      </c>
      <c r="D21" s="72">
        <f t="shared" si="0"/>
        <v>517.5</v>
      </c>
      <c r="E21" s="73">
        <f t="shared" si="5"/>
        <v>495</v>
      </c>
      <c r="F21" s="73">
        <f t="shared" si="5"/>
        <v>494.99999999999994</v>
      </c>
      <c r="G21" s="73">
        <f t="shared" si="5"/>
        <v>507.85714285714278</v>
      </c>
      <c r="H21" s="73">
        <f t="shared" si="5"/>
        <v>528.75</v>
      </c>
      <c r="I21" s="73">
        <f t="shared" si="5"/>
        <v>555</v>
      </c>
      <c r="J21" s="74">
        <f t="shared" si="5"/>
        <v>585</v>
      </c>
      <c r="K21" s="55">
        <f t="shared" si="2"/>
        <v>0.3</v>
      </c>
      <c r="L21" s="94">
        <v>12</v>
      </c>
      <c r="M21" s="96">
        <f t="shared" si="4"/>
        <v>240</v>
      </c>
      <c r="N21" s="58">
        <f t="shared" si="3"/>
        <v>2972.6666666666665</v>
      </c>
      <c r="P21" t="s">
        <v>43</v>
      </c>
    </row>
    <row r="22" spans="1:16" x14ac:dyDescent="0.2">
      <c r="A22" s="55">
        <v>1052</v>
      </c>
      <c r="B22" s="39" t="s">
        <v>42</v>
      </c>
      <c r="C22" s="59">
        <v>4.7</v>
      </c>
      <c r="D22" s="72">
        <f t="shared" si="0"/>
        <v>532.5</v>
      </c>
      <c r="E22" s="73">
        <f t="shared" si="5"/>
        <v>507</v>
      </c>
      <c r="F22" s="73">
        <f t="shared" si="5"/>
        <v>505</v>
      </c>
      <c r="G22" s="73">
        <f t="shared" si="5"/>
        <v>516.42857142857133</v>
      </c>
      <c r="H22" s="73">
        <f t="shared" si="5"/>
        <v>536.25</v>
      </c>
      <c r="I22" s="73">
        <f t="shared" si="5"/>
        <v>561.66666666666663</v>
      </c>
      <c r="J22" s="74">
        <f t="shared" si="5"/>
        <v>591</v>
      </c>
      <c r="K22" s="55">
        <f t="shared" si="2"/>
        <v>0.3</v>
      </c>
      <c r="L22" s="94">
        <v>14</v>
      </c>
      <c r="M22" s="96">
        <f t="shared" si="4"/>
        <v>280.00000000000011</v>
      </c>
      <c r="N22" s="58">
        <f t="shared" si="3"/>
        <v>3468.1111111111127</v>
      </c>
      <c r="P22" t="s">
        <v>49</v>
      </c>
    </row>
    <row r="23" spans="1:16" x14ac:dyDescent="0.2">
      <c r="A23" s="55">
        <v>673</v>
      </c>
      <c r="B23" s="39" t="s">
        <v>32</v>
      </c>
      <c r="C23" s="59">
        <v>4.8</v>
      </c>
      <c r="D23" s="72">
        <f t="shared" si="0"/>
        <v>540</v>
      </c>
      <c r="E23" s="73">
        <f t="shared" si="5"/>
        <v>513</v>
      </c>
      <c r="F23" s="73">
        <f t="shared" si="5"/>
        <v>509.99999999999994</v>
      </c>
      <c r="G23" s="73">
        <f t="shared" si="5"/>
        <v>520.71428571428567</v>
      </c>
      <c r="H23" s="73">
        <f t="shared" si="5"/>
        <v>540</v>
      </c>
      <c r="I23" s="73">
        <f t="shared" si="5"/>
        <v>565</v>
      </c>
      <c r="J23" s="74">
        <f t="shared" si="5"/>
        <v>594</v>
      </c>
      <c r="K23" s="55">
        <f t="shared" si="2"/>
        <v>0.3</v>
      </c>
      <c r="L23" s="94">
        <v>11</v>
      </c>
      <c r="M23" s="96">
        <f t="shared" si="4"/>
        <v>220.00000000000011</v>
      </c>
      <c r="N23" s="58">
        <f t="shared" si="3"/>
        <v>2724.9444444444462</v>
      </c>
      <c r="P23" t="s">
        <v>50</v>
      </c>
    </row>
    <row r="24" spans="1:16" x14ac:dyDescent="0.2">
      <c r="A24" s="55">
        <v>675</v>
      </c>
      <c r="B24" s="39" t="s">
        <v>34</v>
      </c>
      <c r="C24" s="59">
        <v>4.8</v>
      </c>
      <c r="D24" s="72">
        <f t="shared" si="0"/>
        <v>540</v>
      </c>
      <c r="E24" s="73">
        <f t="shared" si="5"/>
        <v>513</v>
      </c>
      <c r="F24" s="73">
        <f t="shared" si="5"/>
        <v>509.99999999999994</v>
      </c>
      <c r="G24" s="73">
        <f t="shared" si="5"/>
        <v>520.71428571428567</v>
      </c>
      <c r="H24" s="73">
        <f t="shared" si="5"/>
        <v>540</v>
      </c>
      <c r="I24" s="73">
        <f t="shared" si="5"/>
        <v>565</v>
      </c>
      <c r="J24" s="74">
        <f t="shared" si="5"/>
        <v>594</v>
      </c>
      <c r="K24" s="55">
        <f t="shared" si="2"/>
        <v>0.3</v>
      </c>
      <c r="L24" s="94">
        <v>13</v>
      </c>
      <c r="M24" s="96">
        <f t="shared" si="4"/>
        <v>260</v>
      </c>
      <c r="N24" s="58">
        <f t="shared" si="3"/>
        <v>3220.3888888888887</v>
      </c>
      <c r="P24" t="s">
        <v>51</v>
      </c>
    </row>
    <row r="25" spans="1:16" x14ac:dyDescent="0.2">
      <c r="A25" s="55">
        <v>1033</v>
      </c>
      <c r="B25" s="39" t="s">
        <v>25</v>
      </c>
      <c r="C25" s="80">
        <v>4.5999999999999996</v>
      </c>
      <c r="D25" s="72">
        <f t="shared" si="0"/>
        <v>525</v>
      </c>
      <c r="E25" s="73">
        <f t="shared" si="5"/>
        <v>501</v>
      </c>
      <c r="F25" s="73">
        <f t="shared" si="5"/>
        <v>499.99999999999989</v>
      </c>
      <c r="G25" s="73">
        <f t="shared" si="5"/>
        <v>512.14285714285711</v>
      </c>
      <c r="H25" s="73">
        <f t="shared" si="5"/>
        <v>532.5</v>
      </c>
      <c r="I25" s="73">
        <f t="shared" si="5"/>
        <v>558.33333333333326</v>
      </c>
      <c r="J25" s="74">
        <f t="shared" si="5"/>
        <v>588</v>
      </c>
      <c r="K25" s="55">
        <f t="shared" si="2"/>
        <v>0.3</v>
      </c>
      <c r="L25" s="94">
        <v>16</v>
      </c>
      <c r="M25" s="96">
        <f t="shared" si="4"/>
        <v>320</v>
      </c>
      <c r="N25" s="58">
        <f t="shared" si="3"/>
        <v>3963.5555555555557</v>
      </c>
      <c r="P25" t="s">
        <v>46</v>
      </c>
    </row>
    <row r="26" spans="1:16" x14ac:dyDescent="0.2">
      <c r="A26" s="55" t="s">
        <v>40</v>
      </c>
      <c r="B26" s="39" t="s">
        <v>85</v>
      </c>
      <c r="C26" s="59">
        <v>5.4</v>
      </c>
      <c r="D26" s="72">
        <f t="shared" si="0"/>
        <v>585</v>
      </c>
      <c r="E26" s="73">
        <f t="shared" si="5"/>
        <v>549</v>
      </c>
      <c r="F26" s="73">
        <f t="shared" si="5"/>
        <v>540</v>
      </c>
      <c r="G26" s="73">
        <f t="shared" si="5"/>
        <v>546.42857142857133</v>
      </c>
      <c r="H26" s="73">
        <f t="shared" si="5"/>
        <v>562.5</v>
      </c>
      <c r="I26" s="73">
        <f t="shared" si="5"/>
        <v>585</v>
      </c>
      <c r="J26" s="74">
        <f t="shared" si="5"/>
        <v>612</v>
      </c>
      <c r="K26" s="55">
        <f t="shared" si="2"/>
        <v>0.3</v>
      </c>
      <c r="L26" s="94">
        <v>13</v>
      </c>
      <c r="M26" s="96">
        <f t="shared" si="4"/>
        <v>260</v>
      </c>
      <c r="N26" s="58">
        <f t="shared" si="3"/>
        <v>3220.3888888888887</v>
      </c>
      <c r="P26" s="29" t="s">
        <v>18</v>
      </c>
    </row>
    <row r="27" spans="1:16" x14ac:dyDescent="0.2">
      <c r="A27" s="55">
        <v>1027</v>
      </c>
      <c r="B27" s="39" t="s">
        <v>38</v>
      </c>
      <c r="C27" s="59">
        <v>5.9</v>
      </c>
      <c r="D27" s="69">
        <f t="shared" si="0"/>
        <v>622.5</v>
      </c>
      <c r="E27" s="70">
        <f t="shared" si="5"/>
        <v>579</v>
      </c>
      <c r="F27" s="70">
        <f t="shared" si="5"/>
        <v>565</v>
      </c>
      <c r="G27" s="70">
        <f t="shared" si="5"/>
        <v>567.85714285714278</v>
      </c>
      <c r="H27" s="70">
        <f t="shared" si="5"/>
        <v>581.25</v>
      </c>
      <c r="I27" s="70">
        <f t="shared" si="5"/>
        <v>601.66666666666663</v>
      </c>
      <c r="J27" s="71">
        <f t="shared" si="5"/>
        <v>627</v>
      </c>
      <c r="K27" s="55">
        <f t="shared" si="2"/>
        <v>0.3</v>
      </c>
      <c r="L27" s="94">
        <v>15</v>
      </c>
      <c r="M27" s="96">
        <f t="shared" si="4"/>
        <v>300</v>
      </c>
      <c r="N27" s="58">
        <f t="shared" si="3"/>
        <v>3715.8333333333335</v>
      </c>
      <c r="P27" s="1"/>
    </row>
    <row r="28" spans="1:16" x14ac:dyDescent="0.2">
      <c r="A28" s="60"/>
      <c r="B28" s="61" t="s">
        <v>44</v>
      </c>
      <c r="C28" s="62"/>
      <c r="D28" s="62">
        <f t="shared" ref="D28:J28" si="6">COUNTIFS($K$10:$K$27,D9)</f>
        <v>6</v>
      </c>
      <c r="E28" s="62">
        <f t="shared" si="6"/>
        <v>5</v>
      </c>
      <c r="F28" s="62">
        <f t="shared" si="6"/>
        <v>7</v>
      </c>
      <c r="G28" s="62">
        <f t="shared" si="6"/>
        <v>0</v>
      </c>
      <c r="H28" s="62">
        <f t="shared" si="6"/>
        <v>0</v>
      </c>
      <c r="I28" s="62">
        <f t="shared" si="6"/>
        <v>0</v>
      </c>
      <c r="J28" s="62">
        <f t="shared" si="6"/>
        <v>0</v>
      </c>
      <c r="K28" s="60"/>
      <c r="L28" s="63"/>
      <c r="M28" s="98"/>
      <c r="N28" s="64">
        <f>SUM(N10:N27)</f>
        <v>73263.847222222219</v>
      </c>
    </row>
    <row r="29" spans="1:16" x14ac:dyDescent="0.2">
      <c r="A29" s="30"/>
      <c r="B29" s="33"/>
      <c r="C29" s="31"/>
      <c r="D29" s="32"/>
      <c r="E29" s="32"/>
      <c r="F29" s="32"/>
      <c r="G29" s="32"/>
      <c r="H29" s="32"/>
      <c r="I29" s="32"/>
      <c r="J29" s="32"/>
      <c r="K29" s="30"/>
      <c r="M29" s="29"/>
    </row>
    <row r="30" spans="1:16" x14ac:dyDescent="0.2">
      <c r="A30" s="30"/>
      <c r="B30" s="82" t="s">
        <v>92</v>
      </c>
      <c r="C30" s="31"/>
      <c r="D30" s="32"/>
      <c r="E30" s="32"/>
      <c r="F30" s="32"/>
      <c r="G30" s="32"/>
      <c r="H30" s="32"/>
      <c r="I30" s="32"/>
      <c r="J30" s="32"/>
      <c r="K30" s="30"/>
      <c r="L30" s="28"/>
    </row>
    <row r="31" spans="1:16" x14ac:dyDescent="0.2">
      <c r="A31" s="30"/>
      <c r="B31" s="88" t="s">
        <v>89</v>
      </c>
      <c r="C31" s="31"/>
      <c r="D31" s="32"/>
      <c r="E31" s="32"/>
      <c r="F31" s="32"/>
      <c r="G31" s="32"/>
      <c r="H31" s="32"/>
      <c r="I31" s="32"/>
      <c r="J31" s="32"/>
      <c r="K31" s="30"/>
    </row>
    <row r="32" spans="1:16" x14ac:dyDescent="0.2">
      <c r="A32" s="30"/>
      <c r="B32" s="33"/>
      <c r="C32" s="31"/>
      <c r="D32" s="32"/>
      <c r="E32" s="32"/>
      <c r="F32" s="32"/>
      <c r="G32" s="32"/>
      <c r="H32" s="32"/>
      <c r="I32" s="32"/>
      <c r="J32" s="32"/>
      <c r="K32" s="30"/>
    </row>
    <row r="33" spans="1:11" x14ac:dyDescent="0.2">
      <c r="A33" s="20"/>
      <c r="B33" s="2"/>
      <c r="C33" s="23"/>
      <c r="D33" s="24"/>
      <c r="E33" s="24"/>
      <c r="F33" s="24"/>
      <c r="G33" s="24"/>
      <c r="H33" s="24"/>
      <c r="I33" s="24"/>
      <c r="J33" s="24"/>
      <c r="K33" s="21" t="s">
        <v>47</v>
      </c>
    </row>
    <row r="34" spans="1:11" x14ac:dyDescent="0.2">
      <c r="A34" s="20"/>
      <c r="B34" s="2"/>
      <c r="C34" s="23"/>
      <c r="D34" s="25">
        <v>0.2</v>
      </c>
      <c r="E34" s="26">
        <v>0.25</v>
      </c>
      <c r="F34" s="26">
        <v>0.3</v>
      </c>
      <c r="G34" s="26">
        <v>0.35</v>
      </c>
      <c r="H34" s="26">
        <v>0.4</v>
      </c>
      <c r="I34" s="26">
        <v>0.45</v>
      </c>
      <c r="J34" s="27">
        <v>0.5</v>
      </c>
      <c r="K34" s="21" t="s">
        <v>48</v>
      </c>
    </row>
    <row r="35" spans="1:11" x14ac:dyDescent="0.2">
      <c r="A35" s="20"/>
      <c r="B35" s="2"/>
      <c r="C35" s="23">
        <v>2</v>
      </c>
      <c r="D35" s="24">
        <f>IFERROR(($C35/D$9*$C$3)+(D$9/4)/$C$5*60*60*$C$4*2, 0)</f>
        <v>330</v>
      </c>
      <c r="E35" s="24">
        <f t="shared" ref="E35:J35" si="7">($C35/E$9*$C$3)+(E$9/4)/$C$5*60*60*$C$4*2</f>
        <v>345</v>
      </c>
      <c r="F35" s="24">
        <f t="shared" si="7"/>
        <v>369.99999999999994</v>
      </c>
      <c r="G35" s="24">
        <f t="shared" si="7"/>
        <v>400.71428571428567</v>
      </c>
      <c r="H35" s="24">
        <f t="shared" si="7"/>
        <v>435</v>
      </c>
      <c r="I35" s="24">
        <f t="shared" si="7"/>
        <v>471.66666666666669</v>
      </c>
      <c r="J35" s="24">
        <f t="shared" si="7"/>
        <v>510</v>
      </c>
      <c r="K35" s="20">
        <f>INDEX($D$9:$J$9, 1, MATCH(MIN(D35:J35), D35:J35, 0))</f>
        <v>0.2</v>
      </c>
    </row>
    <row r="36" spans="1:11" x14ac:dyDescent="0.2">
      <c r="A36" s="20"/>
      <c r="B36" s="2"/>
      <c r="C36" s="23" t="str">
        <f>CONCATENATE("Min", C35)</f>
        <v>Min2</v>
      </c>
      <c r="D36" s="24">
        <f>IF(D35=MIN($D35:$J35), D35, NA())</f>
        <v>330</v>
      </c>
      <c r="E36" s="24" t="e">
        <f t="shared" ref="E36:J36" si="8">IF(E35=MIN($D35:$J35), E35, NA())</f>
        <v>#N/A</v>
      </c>
      <c r="F36" s="24" t="e">
        <f t="shared" si="8"/>
        <v>#N/A</v>
      </c>
      <c r="G36" s="24" t="e">
        <f t="shared" si="8"/>
        <v>#N/A</v>
      </c>
      <c r="H36" s="24" t="e">
        <f t="shared" si="8"/>
        <v>#N/A</v>
      </c>
      <c r="I36" s="24" t="e">
        <f t="shared" si="8"/>
        <v>#N/A</v>
      </c>
      <c r="J36" s="24" t="e">
        <f t="shared" si="8"/>
        <v>#N/A</v>
      </c>
      <c r="K36" s="20"/>
    </row>
    <row r="37" spans="1:11" x14ac:dyDescent="0.2">
      <c r="A37" s="20"/>
      <c r="B37" s="2"/>
      <c r="C37" s="23">
        <v>3</v>
      </c>
      <c r="D37" s="24">
        <f>IFERROR(($C37/D$9*$C$3)+(D$9/4)/$C$5*60*60*$C$4*2, 0)</f>
        <v>405</v>
      </c>
      <c r="E37" s="24">
        <f t="shared" ref="E37:J37" si="9">($C37/E$9*$C$3)+(E$9/4)/$C$5*60*60*$C$4*2</f>
        <v>405</v>
      </c>
      <c r="F37" s="24">
        <f t="shared" si="9"/>
        <v>419.99999999999994</v>
      </c>
      <c r="G37" s="24">
        <f t="shared" si="9"/>
        <v>443.5714285714285</v>
      </c>
      <c r="H37" s="24">
        <f t="shared" si="9"/>
        <v>472.5</v>
      </c>
      <c r="I37" s="24">
        <f t="shared" si="9"/>
        <v>505</v>
      </c>
      <c r="J37" s="24">
        <f t="shared" si="9"/>
        <v>540</v>
      </c>
      <c r="K37" s="20">
        <f t="shared" ref="K37:K61" si="10">INDEX($D$9:$J$9, 1, MATCH(MIN(D37:J37), D37:J37, 0))</f>
        <v>0.2</v>
      </c>
    </row>
    <row r="38" spans="1:11" x14ac:dyDescent="0.2">
      <c r="A38" s="20"/>
      <c r="B38" s="2"/>
      <c r="C38" s="23" t="str">
        <f>CONCATENATE("Min", C37)</f>
        <v>Min3</v>
      </c>
      <c r="D38" s="24">
        <f>IF(D37=MIN($D37:$J37), D37, NA())</f>
        <v>405</v>
      </c>
      <c r="E38" s="24">
        <f t="shared" ref="E38" si="11">IF(E37=MIN($D37:$J37), E37, NA())</f>
        <v>405</v>
      </c>
      <c r="F38" s="24" t="e">
        <f t="shared" ref="F38" si="12">IF(F37=MIN($D37:$J37), F37, NA())</f>
        <v>#N/A</v>
      </c>
      <c r="G38" s="24" t="e">
        <f t="shared" ref="G38" si="13">IF(G37=MIN($D37:$J37), G37, NA())</f>
        <v>#N/A</v>
      </c>
      <c r="H38" s="24" t="e">
        <f t="shared" ref="H38" si="14">IF(H37=MIN($D37:$J37), H37, NA())</f>
        <v>#N/A</v>
      </c>
      <c r="I38" s="24" t="e">
        <f t="shared" ref="I38" si="15">IF(I37=MIN($D37:$J37), I37, NA())</f>
        <v>#N/A</v>
      </c>
      <c r="J38" s="24" t="e">
        <f t="shared" ref="J38" si="16">IF(J37=MIN($D37:$J37), J37, NA())</f>
        <v>#N/A</v>
      </c>
      <c r="K38" s="20" t="e">
        <f t="shared" si="10"/>
        <v>#N/A</v>
      </c>
    </row>
    <row r="39" spans="1:11" x14ac:dyDescent="0.2">
      <c r="A39" s="20"/>
      <c r="B39" s="2"/>
      <c r="C39" s="23">
        <v>4</v>
      </c>
      <c r="D39" s="24">
        <f>IFERROR(($C39/D$9*$C$3)+(D$9/4)/$C$5*60*60*$C$4*2, 0)</f>
        <v>480</v>
      </c>
      <c r="E39" s="24">
        <f t="shared" ref="E39:J39" si="17">($C39/E$9*$C$3)+(E$9/4)/$C$5*60*60*$C$4*2</f>
        <v>465</v>
      </c>
      <c r="F39" s="24">
        <f t="shared" si="17"/>
        <v>469.99999999999994</v>
      </c>
      <c r="G39" s="24">
        <f t="shared" si="17"/>
        <v>486.42857142857139</v>
      </c>
      <c r="H39" s="24">
        <f t="shared" si="17"/>
        <v>510</v>
      </c>
      <c r="I39" s="24">
        <f t="shared" si="17"/>
        <v>538.33333333333337</v>
      </c>
      <c r="J39" s="24">
        <f t="shared" si="17"/>
        <v>570</v>
      </c>
      <c r="K39" s="20">
        <f t="shared" si="10"/>
        <v>0.25</v>
      </c>
    </row>
    <row r="40" spans="1:11" x14ac:dyDescent="0.2">
      <c r="A40" s="20"/>
      <c r="B40" s="2"/>
      <c r="C40" s="23" t="str">
        <f>CONCATENATE("Min", C39)</f>
        <v>Min4</v>
      </c>
      <c r="D40" s="24" t="e">
        <f>IF(D39=MIN($D39:$J39), D39, NA())</f>
        <v>#N/A</v>
      </c>
      <c r="E40" s="24">
        <f t="shared" ref="E40" si="18">IF(E39=MIN($D39:$J39), E39, NA())</f>
        <v>465</v>
      </c>
      <c r="F40" s="24" t="e">
        <f t="shared" ref="F40" si="19">IF(F39=MIN($D39:$J39), F39, NA())</f>
        <v>#N/A</v>
      </c>
      <c r="G40" s="24" t="e">
        <f t="shared" ref="G40" si="20">IF(G39=MIN($D39:$J39), G39, NA())</f>
        <v>#N/A</v>
      </c>
      <c r="H40" s="24" t="e">
        <f t="shared" ref="H40" si="21">IF(H39=MIN($D39:$J39), H39, NA())</f>
        <v>#N/A</v>
      </c>
      <c r="I40" s="24" t="e">
        <f t="shared" ref="I40" si="22">IF(I39=MIN($D39:$J39), I39, NA())</f>
        <v>#N/A</v>
      </c>
      <c r="J40" s="24" t="e">
        <f t="shared" ref="J40" si="23">IF(J39=MIN($D39:$J39), J39, NA())</f>
        <v>#N/A</v>
      </c>
      <c r="K40" s="20" t="e">
        <f t="shared" si="10"/>
        <v>#N/A</v>
      </c>
    </row>
    <row r="41" spans="1:11" x14ac:dyDescent="0.2">
      <c r="A41" s="20"/>
      <c r="B41" s="2"/>
      <c r="C41" s="23">
        <v>5</v>
      </c>
      <c r="D41" s="24">
        <f>IFERROR(($C41/D$9*$C$3)+(D$9/4)/$C$5*60*60*$C$4*2, 0)</f>
        <v>555</v>
      </c>
      <c r="E41" s="24">
        <f t="shared" ref="E41:J41" si="24">($C41/E$9*$C$3)+(E$9/4)/$C$5*60*60*$C$4*2</f>
        <v>525</v>
      </c>
      <c r="F41" s="24">
        <f t="shared" si="24"/>
        <v>520</v>
      </c>
      <c r="G41" s="24">
        <f t="shared" si="24"/>
        <v>529.28571428571422</v>
      </c>
      <c r="H41" s="24">
        <f t="shared" si="24"/>
        <v>547.5</v>
      </c>
      <c r="I41" s="24">
        <f t="shared" si="24"/>
        <v>571.66666666666663</v>
      </c>
      <c r="J41" s="24">
        <f t="shared" si="24"/>
        <v>600</v>
      </c>
      <c r="K41" s="20">
        <f t="shared" si="10"/>
        <v>0.3</v>
      </c>
    </row>
    <row r="42" spans="1:11" x14ac:dyDescent="0.2">
      <c r="A42" s="20"/>
      <c r="B42" s="2"/>
      <c r="C42" s="23" t="s">
        <v>36</v>
      </c>
      <c r="D42" s="24" t="e">
        <f>IF(D41=MIN($D41:$J41), D41, NA())</f>
        <v>#N/A</v>
      </c>
      <c r="E42" s="24" t="e">
        <f t="shared" ref="E42" si="25">IF(E41=MIN($D41:$J41), E41, NA())</f>
        <v>#N/A</v>
      </c>
      <c r="F42" s="24">
        <f t="shared" ref="F42" si="26">IF(F41=MIN($D41:$J41), F41, NA())</f>
        <v>520</v>
      </c>
      <c r="G42" s="24" t="e">
        <f t="shared" ref="G42" si="27">IF(G41=MIN($D41:$J41), G41, NA())</f>
        <v>#N/A</v>
      </c>
      <c r="H42" s="24" t="e">
        <f t="shared" ref="H42" si="28">IF(H41=MIN($D41:$J41), H41, NA())</f>
        <v>#N/A</v>
      </c>
      <c r="I42" s="24" t="e">
        <f t="shared" ref="I42" si="29">IF(I41=MIN($D41:$J41), I41, NA())</f>
        <v>#N/A</v>
      </c>
      <c r="J42" s="24" t="e">
        <f t="shared" ref="J42" si="30">IF(J41=MIN($D41:$J41), J41, NA())</f>
        <v>#N/A</v>
      </c>
      <c r="K42" s="20" t="e">
        <f t="shared" si="10"/>
        <v>#N/A</v>
      </c>
    </row>
    <row r="43" spans="1:11" x14ac:dyDescent="0.2">
      <c r="A43" s="20"/>
      <c r="B43" s="2"/>
      <c r="C43" s="23">
        <v>5</v>
      </c>
      <c r="D43" s="24">
        <f>IFERROR(($C43/D$9*$C$3)+(D$9/4)/$C$5*60*60*$C$4*2, 0)</f>
        <v>555</v>
      </c>
      <c r="E43" s="24">
        <f t="shared" ref="E43:J43" si="31">($C43/E$9*$C$3)+(E$9/4)/$C$5*60*60*$C$4*2</f>
        <v>525</v>
      </c>
      <c r="F43" s="24">
        <f t="shared" si="31"/>
        <v>520</v>
      </c>
      <c r="G43" s="24">
        <f t="shared" si="31"/>
        <v>529.28571428571422</v>
      </c>
      <c r="H43" s="24">
        <f t="shared" si="31"/>
        <v>547.5</v>
      </c>
      <c r="I43" s="24">
        <f t="shared" si="31"/>
        <v>571.66666666666663</v>
      </c>
      <c r="J43" s="24">
        <f t="shared" si="31"/>
        <v>600</v>
      </c>
      <c r="K43" s="20">
        <f t="shared" si="10"/>
        <v>0.3</v>
      </c>
    </row>
    <row r="44" spans="1:11" x14ac:dyDescent="0.2">
      <c r="A44" s="20"/>
      <c r="B44" s="2"/>
      <c r="C44" s="23" t="str">
        <f>CONCATENATE("Min", C43)</f>
        <v>Min5</v>
      </c>
      <c r="D44" s="24" t="e">
        <f>IF(D43=MIN($D43:$J43), D43, NA())</f>
        <v>#N/A</v>
      </c>
      <c r="E44" s="24" t="e">
        <f t="shared" ref="E44" si="32">IF(E43=MIN($D43:$J43), E43, NA())</f>
        <v>#N/A</v>
      </c>
      <c r="F44" s="24">
        <f t="shared" ref="F44" si="33">IF(F43=MIN($D43:$J43), F43, NA())</f>
        <v>520</v>
      </c>
      <c r="G44" s="24" t="e">
        <f t="shared" ref="G44" si="34">IF(G43=MIN($D43:$J43), G43, NA())</f>
        <v>#N/A</v>
      </c>
      <c r="H44" s="24" t="e">
        <f t="shared" ref="H44" si="35">IF(H43=MIN($D43:$J43), H43, NA())</f>
        <v>#N/A</v>
      </c>
      <c r="I44" s="24" t="e">
        <f t="shared" ref="I44" si="36">IF(I43=MIN($D43:$J43), I43, NA())</f>
        <v>#N/A</v>
      </c>
      <c r="J44" s="24" t="e">
        <f t="shared" ref="J44" si="37">IF(J43=MIN($D43:$J43), J43, NA())</f>
        <v>#N/A</v>
      </c>
      <c r="K44" s="20" t="e">
        <f t="shared" si="10"/>
        <v>#N/A</v>
      </c>
    </row>
    <row r="45" spans="1:11" x14ac:dyDescent="0.2">
      <c r="A45" s="20"/>
      <c r="B45" s="2"/>
      <c r="C45" s="23">
        <v>6</v>
      </c>
      <c r="D45" s="24">
        <f>IFERROR(($C45/D$9*$C$3)+(D$9/4)/$C$5*60*60*$C$4*2, 0)</f>
        <v>630</v>
      </c>
      <c r="E45" s="24">
        <f t="shared" ref="E45:J45" si="38">($C45/E$9*$C$3)+(E$9/4)/$C$5*60*60*$C$4*2</f>
        <v>585</v>
      </c>
      <c r="F45" s="24">
        <f t="shared" si="38"/>
        <v>570</v>
      </c>
      <c r="G45" s="24">
        <f t="shared" si="38"/>
        <v>572.14285714285711</v>
      </c>
      <c r="H45" s="24">
        <f t="shared" si="38"/>
        <v>585</v>
      </c>
      <c r="I45" s="24">
        <f t="shared" si="38"/>
        <v>605</v>
      </c>
      <c r="J45" s="24">
        <f t="shared" si="38"/>
        <v>630</v>
      </c>
      <c r="K45" s="20">
        <f t="shared" si="10"/>
        <v>0.3</v>
      </c>
    </row>
    <row r="46" spans="1:11" x14ac:dyDescent="0.2">
      <c r="A46" s="20"/>
      <c r="B46" s="2"/>
      <c r="C46" s="23" t="str">
        <f>CONCATENATE("Min", C45)</f>
        <v>Min6</v>
      </c>
      <c r="D46" s="24" t="e">
        <f>IF(D45=MIN($D45:$J45), D45, NA())</f>
        <v>#N/A</v>
      </c>
      <c r="E46" s="24" t="e">
        <f t="shared" ref="E46" si="39">IF(E45=MIN($D45:$J45), E45, NA())</f>
        <v>#N/A</v>
      </c>
      <c r="F46" s="24">
        <f t="shared" ref="F46" si="40">IF(F45=MIN($D45:$J45), F45, NA())</f>
        <v>570</v>
      </c>
      <c r="G46" s="24" t="e">
        <f t="shared" ref="G46" si="41">IF(G45=MIN($D45:$J45), G45, NA())</f>
        <v>#N/A</v>
      </c>
      <c r="H46" s="24" t="e">
        <f t="shared" ref="H46" si="42">IF(H45=MIN($D45:$J45), H45, NA())</f>
        <v>#N/A</v>
      </c>
      <c r="I46" s="24" t="e">
        <f t="shared" ref="I46" si="43">IF(I45=MIN($D45:$J45), I45, NA())</f>
        <v>#N/A</v>
      </c>
      <c r="J46" s="24" t="e">
        <f t="shared" ref="J46" si="44">IF(J45=MIN($D45:$J45), J45, NA())</f>
        <v>#N/A</v>
      </c>
      <c r="K46" s="20" t="e">
        <f t="shared" si="10"/>
        <v>#N/A</v>
      </c>
    </row>
    <row r="47" spans="1:11" x14ac:dyDescent="0.2">
      <c r="A47" s="20"/>
      <c r="B47" s="2"/>
      <c r="C47" s="23">
        <v>7</v>
      </c>
      <c r="D47" s="24">
        <f>IFERROR(($C47/D$9*$C$3)+(D$9/4)/$C$5*60*60*$C$4*2, 0)</f>
        <v>705</v>
      </c>
      <c r="E47" s="24">
        <f t="shared" ref="E47:J47" si="45">($C47/E$9*$C$3)+(E$9/4)/$C$5*60*60*$C$4*2</f>
        <v>645</v>
      </c>
      <c r="F47" s="24">
        <f t="shared" si="45"/>
        <v>620</v>
      </c>
      <c r="G47" s="24">
        <f t="shared" si="45"/>
        <v>615</v>
      </c>
      <c r="H47" s="24">
        <f t="shared" si="45"/>
        <v>622.5</v>
      </c>
      <c r="I47" s="24">
        <f t="shared" si="45"/>
        <v>638.33333333333337</v>
      </c>
      <c r="J47" s="24">
        <f t="shared" si="45"/>
        <v>660</v>
      </c>
      <c r="K47" s="20">
        <f t="shared" si="10"/>
        <v>0.35</v>
      </c>
    </row>
    <row r="48" spans="1:11" x14ac:dyDescent="0.2">
      <c r="A48" s="20"/>
      <c r="B48" s="2"/>
      <c r="C48" s="23" t="str">
        <f>CONCATENATE("Min", C47)</f>
        <v>Min7</v>
      </c>
      <c r="D48" s="24" t="e">
        <f>IF(D47=MIN($D47:$J47), D47, NA())</f>
        <v>#N/A</v>
      </c>
      <c r="E48" s="24" t="e">
        <f t="shared" ref="E48" si="46">IF(E47=MIN($D47:$J47), E47, NA())</f>
        <v>#N/A</v>
      </c>
      <c r="F48" s="24" t="e">
        <f t="shared" ref="F48" si="47">IF(F47=MIN($D47:$J47), F47, NA())</f>
        <v>#N/A</v>
      </c>
      <c r="G48" s="24">
        <f t="shared" ref="G48" si="48">IF(G47=MIN($D47:$J47), G47, NA())</f>
        <v>615</v>
      </c>
      <c r="H48" s="24" t="e">
        <f t="shared" ref="H48" si="49">IF(H47=MIN($D47:$J47), H47, NA())</f>
        <v>#N/A</v>
      </c>
      <c r="I48" s="24" t="e">
        <f t="shared" ref="I48" si="50">IF(I47=MIN($D47:$J47), I47, NA())</f>
        <v>#N/A</v>
      </c>
      <c r="J48" s="24" t="e">
        <f t="shared" ref="J48" si="51">IF(J47=MIN($D47:$J47), J47, NA())</f>
        <v>#N/A</v>
      </c>
      <c r="K48" s="20" t="e">
        <f t="shared" si="10"/>
        <v>#N/A</v>
      </c>
    </row>
    <row r="49" spans="1:11" x14ac:dyDescent="0.2">
      <c r="A49" s="20"/>
      <c r="B49" s="2"/>
      <c r="C49" s="23"/>
      <c r="D49" s="24">
        <f t="shared" ref="D49:D61" si="52">IFERROR(($C49/D$9*$C$3)+(D$9/4)/$C$5*60*60*$C$4*2, 0)</f>
        <v>180</v>
      </c>
      <c r="E49" s="24">
        <f t="shared" ref="E49:J61" si="53">($C49/E$9*$C$3)+(E$9/4)/$C$5*60*60*$C$4*2</f>
        <v>225</v>
      </c>
      <c r="F49" s="24">
        <f t="shared" si="53"/>
        <v>269.99999999999994</v>
      </c>
      <c r="G49" s="24">
        <f t="shared" si="53"/>
        <v>314.99999999999994</v>
      </c>
      <c r="H49" s="24">
        <f t="shared" si="53"/>
        <v>360</v>
      </c>
      <c r="I49" s="24">
        <f t="shared" si="53"/>
        <v>405</v>
      </c>
      <c r="J49" s="24">
        <f t="shared" si="53"/>
        <v>450</v>
      </c>
      <c r="K49" s="20">
        <f t="shared" si="10"/>
        <v>0.2</v>
      </c>
    </row>
    <row r="50" spans="1:11" x14ac:dyDescent="0.2">
      <c r="A50" s="20"/>
      <c r="B50" s="2"/>
      <c r="C50" s="23"/>
      <c r="D50" s="24">
        <f t="shared" si="52"/>
        <v>180</v>
      </c>
      <c r="E50" s="24">
        <f t="shared" si="53"/>
        <v>225</v>
      </c>
      <c r="F50" s="24">
        <f t="shared" si="53"/>
        <v>269.99999999999994</v>
      </c>
      <c r="G50" s="24">
        <f t="shared" si="53"/>
        <v>314.99999999999994</v>
      </c>
      <c r="H50" s="24">
        <f t="shared" si="53"/>
        <v>360</v>
      </c>
      <c r="I50" s="24">
        <f t="shared" si="53"/>
        <v>405</v>
      </c>
      <c r="J50" s="24">
        <f t="shared" si="53"/>
        <v>450</v>
      </c>
      <c r="K50" s="20">
        <f t="shared" si="10"/>
        <v>0.2</v>
      </c>
    </row>
    <row r="51" spans="1:11" x14ac:dyDescent="0.2">
      <c r="A51" s="20"/>
      <c r="B51" s="2"/>
      <c r="C51" s="23"/>
      <c r="D51" s="24">
        <f t="shared" si="52"/>
        <v>180</v>
      </c>
      <c r="E51" s="24">
        <f t="shared" si="53"/>
        <v>225</v>
      </c>
      <c r="F51" s="24">
        <f t="shared" si="53"/>
        <v>269.99999999999994</v>
      </c>
      <c r="G51" s="24">
        <f t="shared" si="53"/>
        <v>314.99999999999994</v>
      </c>
      <c r="H51" s="24">
        <f t="shared" si="53"/>
        <v>360</v>
      </c>
      <c r="I51" s="24">
        <f t="shared" si="53"/>
        <v>405</v>
      </c>
      <c r="J51" s="24">
        <f t="shared" si="53"/>
        <v>450</v>
      </c>
      <c r="K51" s="20">
        <f t="shared" si="10"/>
        <v>0.2</v>
      </c>
    </row>
    <row r="52" spans="1:11" x14ac:dyDescent="0.2">
      <c r="A52" s="20"/>
      <c r="B52" s="2"/>
      <c r="C52" s="23"/>
      <c r="D52" s="24">
        <f t="shared" si="52"/>
        <v>180</v>
      </c>
      <c r="E52" s="24">
        <f t="shared" si="53"/>
        <v>225</v>
      </c>
      <c r="F52" s="24">
        <f t="shared" si="53"/>
        <v>269.99999999999994</v>
      </c>
      <c r="G52" s="24">
        <f t="shared" si="53"/>
        <v>314.99999999999994</v>
      </c>
      <c r="H52" s="24">
        <f t="shared" si="53"/>
        <v>360</v>
      </c>
      <c r="I52" s="24">
        <f t="shared" si="53"/>
        <v>405</v>
      </c>
      <c r="J52" s="24">
        <f t="shared" si="53"/>
        <v>450</v>
      </c>
      <c r="K52" s="20">
        <f t="shared" si="10"/>
        <v>0.2</v>
      </c>
    </row>
    <row r="53" spans="1:11" x14ac:dyDescent="0.2">
      <c r="A53" s="20"/>
      <c r="B53" s="2"/>
      <c r="C53" s="23"/>
      <c r="D53" s="24">
        <f t="shared" si="52"/>
        <v>180</v>
      </c>
      <c r="E53" s="24">
        <f t="shared" si="53"/>
        <v>225</v>
      </c>
      <c r="F53" s="24">
        <f t="shared" si="53"/>
        <v>269.99999999999994</v>
      </c>
      <c r="G53" s="24">
        <f t="shared" si="53"/>
        <v>314.99999999999994</v>
      </c>
      <c r="H53" s="24">
        <f t="shared" si="53"/>
        <v>360</v>
      </c>
      <c r="I53" s="24">
        <f t="shared" si="53"/>
        <v>405</v>
      </c>
      <c r="J53" s="24">
        <f t="shared" si="53"/>
        <v>450</v>
      </c>
      <c r="K53" s="20">
        <f t="shared" si="10"/>
        <v>0.2</v>
      </c>
    </row>
    <row r="54" spans="1:11" x14ac:dyDescent="0.2">
      <c r="A54" s="20"/>
      <c r="B54" s="2"/>
      <c r="C54" s="23"/>
      <c r="D54" s="24">
        <f t="shared" si="52"/>
        <v>180</v>
      </c>
      <c r="E54" s="24">
        <f t="shared" si="53"/>
        <v>225</v>
      </c>
      <c r="F54" s="24">
        <f t="shared" si="53"/>
        <v>269.99999999999994</v>
      </c>
      <c r="G54" s="24">
        <f t="shared" si="53"/>
        <v>314.99999999999994</v>
      </c>
      <c r="H54" s="24">
        <f t="shared" si="53"/>
        <v>360</v>
      </c>
      <c r="I54" s="24">
        <f t="shared" si="53"/>
        <v>405</v>
      </c>
      <c r="J54" s="24">
        <f t="shared" si="53"/>
        <v>450</v>
      </c>
      <c r="K54" s="20">
        <f t="shared" si="10"/>
        <v>0.2</v>
      </c>
    </row>
    <row r="55" spans="1:11" x14ac:dyDescent="0.2">
      <c r="A55" s="20"/>
      <c r="B55" s="2"/>
      <c r="C55" s="23"/>
      <c r="D55" s="24">
        <f t="shared" si="52"/>
        <v>180</v>
      </c>
      <c r="E55" s="24">
        <f t="shared" si="53"/>
        <v>225</v>
      </c>
      <c r="F55" s="24">
        <f t="shared" si="53"/>
        <v>269.99999999999994</v>
      </c>
      <c r="G55" s="24">
        <f t="shared" si="53"/>
        <v>314.99999999999994</v>
      </c>
      <c r="H55" s="24">
        <f t="shared" si="53"/>
        <v>360</v>
      </c>
      <c r="I55" s="24">
        <f t="shared" si="53"/>
        <v>405</v>
      </c>
      <c r="J55" s="24">
        <f t="shared" si="53"/>
        <v>450</v>
      </c>
      <c r="K55" s="20">
        <f t="shared" si="10"/>
        <v>0.2</v>
      </c>
    </row>
    <row r="56" spans="1:11" x14ac:dyDescent="0.2">
      <c r="A56" s="20"/>
      <c r="B56" s="2"/>
      <c r="C56" s="23"/>
      <c r="D56" s="24">
        <f t="shared" si="52"/>
        <v>180</v>
      </c>
      <c r="E56" s="24">
        <f t="shared" si="53"/>
        <v>225</v>
      </c>
      <c r="F56" s="24">
        <f t="shared" si="53"/>
        <v>269.99999999999994</v>
      </c>
      <c r="G56" s="24">
        <f t="shared" si="53"/>
        <v>314.99999999999994</v>
      </c>
      <c r="H56" s="24">
        <f t="shared" si="53"/>
        <v>360</v>
      </c>
      <c r="I56" s="24">
        <f t="shared" si="53"/>
        <v>405</v>
      </c>
      <c r="J56" s="24">
        <f t="shared" si="53"/>
        <v>450</v>
      </c>
      <c r="K56" s="20">
        <f t="shared" si="10"/>
        <v>0.2</v>
      </c>
    </row>
    <row r="57" spans="1:11" x14ac:dyDescent="0.2">
      <c r="A57" s="20"/>
      <c r="B57" s="2"/>
      <c r="C57" s="23"/>
      <c r="D57" s="24">
        <f t="shared" si="52"/>
        <v>180</v>
      </c>
      <c r="E57" s="24">
        <f t="shared" si="53"/>
        <v>225</v>
      </c>
      <c r="F57" s="24">
        <f t="shared" si="53"/>
        <v>269.99999999999994</v>
      </c>
      <c r="G57" s="24">
        <f t="shared" si="53"/>
        <v>314.99999999999994</v>
      </c>
      <c r="H57" s="24">
        <f t="shared" si="53"/>
        <v>360</v>
      </c>
      <c r="I57" s="24">
        <f t="shared" si="53"/>
        <v>405</v>
      </c>
      <c r="J57" s="24">
        <f t="shared" si="53"/>
        <v>450</v>
      </c>
      <c r="K57" s="20">
        <f t="shared" si="10"/>
        <v>0.2</v>
      </c>
    </row>
    <row r="58" spans="1:11" x14ac:dyDescent="0.2">
      <c r="A58" s="20"/>
      <c r="B58" s="2"/>
      <c r="C58" s="23"/>
      <c r="D58" s="24">
        <f t="shared" si="52"/>
        <v>180</v>
      </c>
      <c r="E58" s="24">
        <f t="shared" si="53"/>
        <v>225</v>
      </c>
      <c r="F58" s="24">
        <f t="shared" si="53"/>
        <v>269.99999999999994</v>
      </c>
      <c r="G58" s="24">
        <f t="shared" si="53"/>
        <v>314.99999999999994</v>
      </c>
      <c r="H58" s="24">
        <f t="shared" si="53"/>
        <v>360</v>
      </c>
      <c r="I58" s="24">
        <f t="shared" si="53"/>
        <v>405</v>
      </c>
      <c r="J58" s="24">
        <f t="shared" si="53"/>
        <v>450</v>
      </c>
      <c r="K58" s="20">
        <f t="shared" si="10"/>
        <v>0.2</v>
      </c>
    </row>
    <row r="59" spans="1:11" x14ac:dyDescent="0.2">
      <c r="A59" s="20"/>
      <c r="B59" s="2"/>
      <c r="C59" s="23"/>
      <c r="D59" s="24">
        <f t="shared" si="52"/>
        <v>180</v>
      </c>
      <c r="E59" s="24">
        <f t="shared" si="53"/>
        <v>225</v>
      </c>
      <c r="F59" s="24">
        <f t="shared" si="53"/>
        <v>269.99999999999994</v>
      </c>
      <c r="G59" s="24">
        <f t="shared" si="53"/>
        <v>314.99999999999994</v>
      </c>
      <c r="H59" s="24">
        <f t="shared" si="53"/>
        <v>360</v>
      </c>
      <c r="I59" s="24">
        <f t="shared" si="53"/>
        <v>405</v>
      </c>
      <c r="J59" s="24">
        <f t="shared" si="53"/>
        <v>450</v>
      </c>
      <c r="K59" s="20">
        <f t="shared" si="10"/>
        <v>0.2</v>
      </c>
    </row>
    <row r="60" spans="1:11" x14ac:dyDescent="0.2">
      <c r="A60" s="20"/>
      <c r="B60" s="2"/>
      <c r="C60" s="23"/>
      <c r="D60" s="24">
        <f t="shared" si="52"/>
        <v>180</v>
      </c>
      <c r="E60" s="24">
        <f t="shared" si="53"/>
        <v>225</v>
      </c>
      <c r="F60" s="24">
        <f t="shared" si="53"/>
        <v>269.99999999999994</v>
      </c>
      <c r="G60" s="24">
        <f t="shared" si="53"/>
        <v>314.99999999999994</v>
      </c>
      <c r="H60" s="24">
        <f t="shared" si="53"/>
        <v>360</v>
      </c>
      <c r="I60" s="24">
        <f t="shared" si="53"/>
        <v>405</v>
      </c>
      <c r="J60" s="24">
        <f t="shared" si="53"/>
        <v>450</v>
      </c>
      <c r="K60" s="20">
        <f t="shared" si="10"/>
        <v>0.2</v>
      </c>
    </row>
    <row r="61" spans="1:11" x14ac:dyDescent="0.2">
      <c r="A61" s="20"/>
      <c r="B61" s="2"/>
      <c r="C61" s="23"/>
      <c r="D61" s="24">
        <f t="shared" si="52"/>
        <v>180</v>
      </c>
      <c r="E61" s="24">
        <f t="shared" si="53"/>
        <v>225</v>
      </c>
      <c r="F61" s="24">
        <f t="shared" si="53"/>
        <v>269.99999999999994</v>
      </c>
      <c r="G61" s="24">
        <f t="shared" si="53"/>
        <v>314.99999999999994</v>
      </c>
      <c r="H61" s="24">
        <f t="shared" si="53"/>
        <v>360</v>
      </c>
      <c r="I61" s="24">
        <f t="shared" si="53"/>
        <v>405</v>
      </c>
      <c r="J61" s="24">
        <f t="shared" si="53"/>
        <v>450</v>
      </c>
      <c r="K61" s="20">
        <f t="shared" si="10"/>
        <v>0.2</v>
      </c>
    </row>
    <row r="82" spans="12:12" x14ac:dyDescent="0.2">
      <c r="L82" s="22" t="s">
        <v>36</v>
      </c>
    </row>
    <row r="83" spans="12:12" x14ac:dyDescent="0.2">
      <c r="L83" s="28">
        <f>MIN(D35:J35)</f>
        <v>330</v>
      </c>
    </row>
    <row r="84" spans="12:12" x14ac:dyDescent="0.2">
      <c r="L84" s="28"/>
    </row>
    <row r="85" spans="12:12" x14ac:dyDescent="0.2">
      <c r="L85" s="28">
        <f t="shared" ref="L85:L89" si="54">MIN(D37:J37)</f>
        <v>405</v>
      </c>
    </row>
    <row r="86" spans="12:12" x14ac:dyDescent="0.2">
      <c r="L86" s="28"/>
    </row>
    <row r="87" spans="12:12" x14ac:dyDescent="0.2">
      <c r="L87" s="28">
        <f t="shared" si="54"/>
        <v>465</v>
      </c>
    </row>
    <row r="88" spans="12:12" x14ac:dyDescent="0.2">
      <c r="L88" s="28"/>
    </row>
    <row r="89" spans="12:12" x14ac:dyDescent="0.2">
      <c r="L89" s="28">
        <f t="shared" si="54"/>
        <v>520</v>
      </c>
    </row>
    <row r="90" spans="12:12" x14ac:dyDescent="0.2">
      <c r="L90" s="28"/>
    </row>
  </sheetData>
  <sortState ref="A10:K28">
    <sortCondition ref="C10"/>
  </sortState>
  <phoneticPr fontId="18" type="noConversion"/>
  <conditionalFormatting sqref="D10:J27 L10:L27">
    <cfRule type="expression" dxfId="39" priority="10">
      <formula>D10=MIN($D10:$J10)</formula>
    </cfRule>
  </conditionalFormatting>
  <conditionalFormatting sqref="D38:J38">
    <cfRule type="expression" dxfId="38" priority="9">
      <formula>D38=MIN($D38:$J38)</formula>
    </cfRule>
  </conditionalFormatting>
  <conditionalFormatting sqref="D40:J40">
    <cfRule type="expression" dxfId="37" priority="8">
      <formula>D40=MIN($D40:$J40)</formula>
    </cfRule>
  </conditionalFormatting>
  <conditionalFormatting sqref="D42:J42">
    <cfRule type="expression" dxfId="36" priority="7">
      <formula>D42=MIN($D42:$J42)</formula>
    </cfRule>
  </conditionalFormatting>
  <conditionalFormatting sqref="D43:J43">
    <cfRule type="expression" dxfId="35" priority="6">
      <formula>D43=MIN($D43:$J43)</formula>
    </cfRule>
  </conditionalFormatting>
  <conditionalFormatting sqref="D44:J44">
    <cfRule type="expression" dxfId="34" priority="5">
      <formula>D44=MIN($D44:$J44)</formula>
    </cfRule>
  </conditionalFormatting>
  <conditionalFormatting sqref="D45:J45">
    <cfRule type="expression" dxfId="33" priority="4">
      <formula>D45=MIN($D45:$J45)</formula>
    </cfRule>
  </conditionalFormatting>
  <conditionalFormatting sqref="D46:J46">
    <cfRule type="expression" dxfId="32" priority="3">
      <formula>D46=MIN($D46:$J46)</formula>
    </cfRule>
  </conditionalFormatting>
  <conditionalFormatting sqref="D47:J47">
    <cfRule type="expression" dxfId="31" priority="2">
      <formula>D47=MIN($D47:$J47)</formula>
    </cfRule>
  </conditionalFormatting>
  <conditionalFormatting sqref="D48:J48">
    <cfRule type="expression" dxfId="30" priority="1">
      <formula>D48=MIN($D48:$J48)</formula>
    </cfRule>
  </conditionalFormatting>
  <hyperlinks>
    <hyperlink ref="P26" r:id="rId1"/>
  </hyperlinks>
  <pageMargins left="0.5" right="0.5" top="0.75" bottom="0.75" header="0.3" footer="0.3"/>
  <pageSetup pageOrder="overThenDown" orientation="landscape" r:id="rId2"/>
  <headerFooter>
    <oddHeader>&amp;C&amp;"-,Bold"&amp;16Optimal RapidRide Stop Spacing Analysis  (1)</oddHead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</sheetPr>
  <dimension ref="A2:P90"/>
  <sheetViews>
    <sheetView showGridLines="0" tabSelected="1" view="pageLayout" workbookViewId="0">
      <selection activeCell="A29" sqref="A29"/>
    </sheetView>
  </sheetViews>
  <sheetFormatPr baseColWidth="10" defaultColWidth="8.83203125" defaultRowHeight="15" x14ac:dyDescent="0.2"/>
  <cols>
    <col min="1" max="1" width="6.6640625" customWidth="1"/>
    <col min="2" max="2" width="33" customWidth="1"/>
    <col min="3" max="3" width="7.5" customWidth="1"/>
    <col min="4" max="10" width="6.6640625" customWidth="1"/>
    <col min="11" max="11" width="7.5" customWidth="1"/>
    <col min="12" max="12" width="6.6640625" customWidth="1"/>
    <col min="13" max="13" width="8.6640625" customWidth="1"/>
    <col min="14" max="14" width="10.1640625" customWidth="1"/>
  </cols>
  <sheetData>
    <row r="2" spans="1:14" x14ac:dyDescent="0.2">
      <c r="A2" s="86" t="s">
        <v>2</v>
      </c>
      <c r="C2" s="35"/>
      <c r="E2" s="22"/>
      <c r="J2" s="22" t="s">
        <v>17</v>
      </c>
      <c r="M2" s="22" t="s">
        <v>69</v>
      </c>
    </row>
    <row r="3" spans="1:14" x14ac:dyDescent="0.2">
      <c r="A3" s="34" t="s">
        <v>75</v>
      </c>
      <c r="B3" s="39"/>
      <c r="C3" s="92">
        <v>15</v>
      </c>
      <c r="D3" s="83"/>
      <c r="E3" s="84"/>
      <c r="H3" s="84"/>
      <c r="I3" s="84"/>
      <c r="J3" s="39" t="s">
        <v>19</v>
      </c>
      <c r="K3" s="85">
        <f>AVERAGE(K10:K27)</f>
        <v>0.22222222222222221</v>
      </c>
      <c r="M3" s="39" t="s">
        <v>70</v>
      </c>
      <c r="N3" s="97">
        <f>'Est. Annual RR Trips'!G10</f>
        <v>44590</v>
      </c>
    </row>
    <row r="4" spans="1:14" x14ac:dyDescent="0.2">
      <c r="A4" s="39" t="s">
        <v>6</v>
      </c>
      <c r="B4" s="39"/>
      <c r="C4" s="92">
        <v>2</v>
      </c>
      <c r="D4" s="84"/>
      <c r="E4" s="84"/>
      <c r="H4" s="84"/>
      <c r="I4" s="84"/>
      <c r="J4" s="39" t="s">
        <v>20</v>
      </c>
      <c r="K4" s="85">
        <f>MEDIAN(K10:K27)</f>
        <v>0.2</v>
      </c>
      <c r="L4" s="84"/>
      <c r="M4" s="89" t="s">
        <v>90</v>
      </c>
    </row>
    <row r="5" spans="1:14" x14ac:dyDescent="0.2">
      <c r="A5" s="39" t="s">
        <v>21</v>
      </c>
      <c r="B5" s="39"/>
      <c r="C5" s="39">
        <v>3</v>
      </c>
      <c r="D5" s="84"/>
      <c r="E5" s="84"/>
      <c r="H5" s="84"/>
      <c r="I5" s="84"/>
      <c r="J5" s="39" t="s">
        <v>22</v>
      </c>
      <c r="K5" s="85">
        <f>_xlfn.MODE.SNGL(K10:K27)</f>
        <v>0.2</v>
      </c>
      <c r="L5" s="84"/>
      <c r="M5" s="84"/>
    </row>
    <row r="7" spans="1:14" ht="4.25" customHeight="1" x14ac:dyDescent="0.2"/>
    <row r="8" spans="1:14" ht="31.25" customHeight="1" x14ac:dyDescent="0.2">
      <c r="C8" s="79" t="s">
        <v>88</v>
      </c>
      <c r="D8" s="66" t="s">
        <v>83</v>
      </c>
      <c r="E8" s="67"/>
      <c r="F8" s="67"/>
      <c r="G8" s="67"/>
      <c r="H8" s="67"/>
      <c r="I8" s="67"/>
      <c r="J8" s="67"/>
      <c r="K8" s="65"/>
      <c r="L8" s="38"/>
      <c r="M8" s="37"/>
      <c r="N8" s="37"/>
    </row>
    <row r="9" spans="1:14" ht="43.25" customHeight="1" x14ac:dyDescent="0.2">
      <c r="A9" s="51" t="s">
        <v>23</v>
      </c>
      <c r="B9" s="51" t="s">
        <v>24</v>
      </c>
      <c r="C9" s="52" t="s">
        <v>84</v>
      </c>
      <c r="D9" s="53">
        <v>0.2</v>
      </c>
      <c r="E9" s="54">
        <v>0.25</v>
      </c>
      <c r="F9" s="54">
        <v>0.3</v>
      </c>
      <c r="G9" s="54">
        <v>0.35</v>
      </c>
      <c r="H9" s="54">
        <v>0.4</v>
      </c>
      <c r="I9" s="54">
        <v>0.45</v>
      </c>
      <c r="J9" s="54">
        <v>0.5</v>
      </c>
      <c r="K9" s="68" t="s">
        <v>45</v>
      </c>
      <c r="L9" s="75" t="s">
        <v>52</v>
      </c>
      <c r="M9" s="76" t="s">
        <v>94</v>
      </c>
      <c r="N9" s="76" t="s">
        <v>71</v>
      </c>
    </row>
    <row r="10" spans="1:14" x14ac:dyDescent="0.2">
      <c r="A10" s="55">
        <v>1059</v>
      </c>
      <c r="B10" s="39" t="s">
        <v>86</v>
      </c>
      <c r="C10" s="56">
        <v>1.4</v>
      </c>
      <c r="D10" s="69">
        <f t="shared" ref="D10:D27" si="0">IFERROR(($C10/D$9*$C$3)+(D$9/4)/$C$5*60*60*$C$4*2, 0)</f>
        <v>345</v>
      </c>
      <c r="E10" s="70">
        <f t="shared" ref="E10:J19" si="1">($C10/E$9*$C$3)+(E$9/4)/$C$5*60*60*$C$4*2</f>
        <v>384</v>
      </c>
      <c r="F10" s="70">
        <f t="shared" si="1"/>
        <v>429.99999999999994</v>
      </c>
      <c r="G10" s="70">
        <f t="shared" si="1"/>
        <v>479.99999999999994</v>
      </c>
      <c r="H10" s="70">
        <f t="shared" si="1"/>
        <v>532.5</v>
      </c>
      <c r="I10" s="70">
        <f t="shared" si="1"/>
        <v>586.66666666666663</v>
      </c>
      <c r="J10" s="71">
        <f t="shared" si="1"/>
        <v>642</v>
      </c>
      <c r="K10" s="57">
        <f t="shared" ref="K10:K27" si="2">INDEX($D$9:$J$9, 1, MATCH(MIN(D10:J10), D10:J10, 0))</f>
        <v>0.2</v>
      </c>
      <c r="L10" s="93">
        <v>2</v>
      </c>
      <c r="M10" s="95">
        <f>((L10/K10)*$C$3)-((L10/0.5)*$C$3)</f>
        <v>90</v>
      </c>
      <c r="N10" s="58">
        <f t="shared" ref="N10:N27" si="3">M10*$N$3/(60*60)</f>
        <v>1114.75</v>
      </c>
    </row>
    <row r="11" spans="1:14" x14ac:dyDescent="0.2">
      <c r="A11" s="55">
        <v>1012</v>
      </c>
      <c r="B11" s="39" t="s">
        <v>29</v>
      </c>
      <c r="C11" s="59">
        <v>2</v>
      </c>
      <c r="D11" s="72">
        <f t="shared" si="0"/>
        <v>390</v>
      </c>
      <c r="E11" s="73">
        <f t="shared" si="1"/>
        <v>420</v>
      </c>
      <c r="F11" s="73">
        <f t="shared" si="1"/>
        <v>459.99999999999994</v>
      </c>
      <c r="G11" s="73">
        <f t="shared" si="1"/>
        <v>505.71428571428567</v>
      </c>
      <c r="H11" s="73">
        <f t="shared" si="1"/>
        <v>555</v>
      </c>
      <c r="I11" s="73">
        <f t="shared" si="1"/>
        <v>606.66666666666663</v>
      </c>
      <c r="J11" s="74">
        <f t="shared" si="1"/>
        <v>660</v>
      </c>
      <c r="K11" s="55">
        <f t="shared" si="2"/>
        <v>0.2</v>
      </c>
      <c r="L11" s="94">
        <v>6</v>
      </c>
      <c r="M11" s="96">
        <f t="shared" ref="M11:M27" si="4">((L11/K11)*$C$3)-((L11/0.5)*$C$3)</f>
        <v>270</v>
      </c>
      <c r="N11" s="58">
        <f t="shared" si="3"/>
        <v>3344.25</v>
      </c>
    </row>
    <row r="12" spans="1:14" x14ac:dyDescent="0.2">
      <c r="A12" s="55">
        <v>1013</v>
      </c>
      <c r="B12" s="39" t="s">
        <v>37</v>
      </c>
      <c r="C12" s="59">
        <v>2.2999999999999998</v>
      </c>
      <c r="D12" s="72">
        <f t="shared" si="0"/>
        <v>412.5</v>
      </c>
      <c r="E12" s="73">
        <f t="shared" si="1"/>
        <v>438</v>
      </c>
      <c r="F12" s="73">
        <f t="shared" si="1"/>
        <v>474.99999999999994</v>
      </c>
      <c r="G12" s="73">
        <f t="shared" si="1"/>
        <v>518.57142857142856</v>
      </c>
      <c r="H12" s="73">
        <f t="shared" si="1"/>
        <v>566.25</v>
      </c>
      <c r="I12" s="73">
        <f t="shared" si="1"/>
        <v>616.66666666666663</v>
      </c>
      <c r="J12" s="74">
        <f t="shared" si="1"/>
        <v>669</v>
      </c>
      <c r="K12" s="55">
        <f t="shared" si="2"/>
        <v>0.2</v>
      </c>
      <c r="L12" s="94">
        <v>7</v>
      </c>
      <c r="M12" s="96">
        <f t="shared" si="4"/>
        <v>315</v>
      </c>
      <c r="N12" s="58">
        <f t="shared" si="3"/>
        <v>3901.625</v>
      </c>
    </row>
    <row r="13" spans="1:14" x14ac:dyDescent="0.2">
      <c r="A13" s="55">
        <v>1063</v>
      </c>
      <c r="B13" s="39" t="s">
        <v>87</v>
      </c>
      <c r="C13" s="55">
        <v>2.6</v>
      </c>
      <c r="D13" s="72">
        <f t="shared" si="0"/>
        <v>435</v>
      </c>
      <c r="E13" s="73">
        <f t="shared" si="1"/>
        <v>456</v>
      </c>
      <c r="F13" s="73">
        <f t="shared" si="1"/>
        <v>490</v>
      </c>
      <c r="G13" s="73">
        <f t="shared" si="1"/>
        <v>531.42857142857133</v>
      </c>
      <c r="H13" s="73">
        <f t="shared" si="1"/>
        <v>577.5</v>
      </c>
      <c r="I13" s="73">
        <f t="shared" si="1"/>
        <v>626.66666666666663</v>
      </c>
      <c r="J13" s="74">
        <f t="shared" si="1"/>
        <v>678</v>
      </c>
      <c r="K13" s="55">
        <f t="shared" si="2"/>
        <v>0.2</v>
      </c>
      <c r="L13" s="94">
        <v>11</v>
      </c>
      <c r="M13" s="96">
        <f t="shared" si="4"/>
        <v>495</v>
      </c>
      <c r="N13" s="58">
        <f t="shared" si="3"/>
        <v>6131.125</v>
      </c>
    </row>
    <row r="14" spans="1:14" x14ac:dyDescent="0.2">
      <c r="A14" s="55">
        <v>674</v>
      </c>
      <c r="B14" s="39" t="s">
        <v>33</v>
      </c>
      <c r="C14" s="59">
        <v>2.9</v>
      </c>
      <c r="D14" s="72">
        <f t="shared" si="0"/>
        <v>457.5</v>
      </c>
      <c r="E14" s="73">
        <f t="shared" si="1"/>
        <v>474</v>
      </c>
      <c r="F14" s="73">
        <f t="shared" si="1"/>
        <v>504.99999999999994</v>
      </c>
      <c r="G14" s="73">
        <f t="shared" si="1"/>
        <v>544.28571428571422</v>
      </c>
      <c r="H14" s="73">
        <f t="shared" si="1"/>
        <v>588.75</v>
      </c>
      <c r="I14" s="73">
        <f t="shared" si="1"/>
        <v>636.66666666666663</v>
      </c>
      <c r="J14" s="74">
        <f t="shared" si="1"/>
        <v>687</v>
      </c>
      <c r="K14" s="55">
        <f t="shared" si="2"/>
        <v>0.2</v>
      </c>
      <c r="L14" s="94">
        <v>9</v>
      </c>
      <c r="M14" s="96">
        <f t="shared" si="4"/>
        <v>405</v>
      </c>
      <c r="N14" s="58">
        <f t="shared" si="3"/>
        <v>5016.375</v>
      </c>
    </row>
    <row r="15" spans="1:14" x14ac:dyDescent="0.2">
      <c r="A15" s="55" t="s">
        <v>27</v>
      </c>
      <c r="B15" s="39" t="s">
        <v>28</v>
      </c>
      <c r="C15" s="59">
        <v>3</v>
      </c>
      <c r="D15" s="72">
        <f t="shared" si="0"/>
        <v>465</v>
      </c>
      <c r="E15" s="73">
        <f t="shared" si="1"/>
        <v>480</v>
      </c>
      <c r="F15" s="73">
        <f t="shared" si="1"/>
        <v>509.99999999999994</v>
      </c>
      <c r="G15" s="73">
        <f t="shared" si="1"/>
        <v>548.57142857142844</v>
      </c>
      <c r="H15" s="73">
        <f t="shared" si="1"/>
        <v>592.5</v>
      </c>
      <c r="I15" s="73">
        <f t="shared" si="1"/>
        <v>640</v>
      </c>
      <c r="J15" s="74">
        <f t="shared" si="1"/>
        <v>690</v>
      </c>
      <c r="K15" s="55">
        <f t="shared" si="2"/>
        <v>0.2</v>
      </c>
      <c r="L15" s="94">
        <v>14</v>
      </c>
      <c r="M15" s="96">
        <f t="shared" si="4"/>
        <v>630</v>
      </c>
      <c r="N15" s="58">
        <f t="shared" si="3"/>
        <v>7803.25</v>
      </c>
    </row>
    <row r="16" spans="1:14" x14ac:dyDescent="0.2">
      <c r="A16" s="55">
        <v>672</v>
      </c>
      <c r="B16" s="39" t="s">
        <v>31</v>
      </c>
      <c r="C16" s="59">
        <v>3.4</v>
      </c>
      <c r="D16" s="72">
        <f t="shared" si="0"/>
        <v>495</v>
      </c>
      <c r="E16" s="73">
        <f t="shared" si="1"/>
        <v>504</v>
      </c>
      <c r="F16" s="73">
        <f t="shared" si="1"/>
        <v>530</v>
      </c>
      <c r="G16" s="73">
        <f t="shared" si="1"/>
        <v>565.71428571428567</v>
      </c>
      <c r="H16" s="73">
        <f t="shared" si="1"/>
        <v>607.5</v>
      </c>
      <c r="I16" s="73">
        <f t="shared" si="1"/>
        <v>653.33333333333337</v>
      </c>
      <c r="J16" s="74">
        <f t="shared" si="1"/>
        <v>702</v>
      </c>
      <c r="K16" s="55">
        <f t="shared" si="2"/>
        <v>0.2</v>
      </c>
      <c r="L16" s="94">
        <v>3</v>
      </c>
      <c r="M16" s="96">
        <f t="shared" si="4"/>
        <v>135</v>
      </c>
      <c r="N16" s="58">
        <f t="shared" si="3"/>
        <v>1672.125</v>
      </c>
    </row>
    <row r="17" spans="1:16" x14ac:dyDescent="0.2">
      <c r="A17" s="55">
        <v>1009</v>
      </c>
      <c r="B17" s="39" t="s">
        <v>26</v>
      </c>
      <c r="C17" s="55">
        <v>3.7</v>
      </c>
      <c r="D17" s="72">
        <f t="shared" si="0"/>
        <v>517.5</v>
      </c>
      <c r="E17" s="73">
        <f t="shared" si="1"/>
        <v>522</v>
      </c>
      <c r="F17" s="73">
        <f t="shared" si="1"/>
        <v>545</v>
      </c>
      <c r="G17" s="73">
        <f t="shared" si="1"/>
        <v>578.57142857142856</v>
      </c>
      <c r="H17" s="73">
        <f t="shared" si="1"/>
        <v>618.75</v>
      </c>
      <c r="I17" s="73">
        <f t="shared" si="1"/>
        <v>663.33333333333337</v>
      </c>
      <c r="J17" s="74">
        <f t="shared" si="1"/>
        <v>711</v>
      </c>
      <c r="K17" s="55">
        <f t="shared" si="2"/>
        <v>0.2</v>
      </c>
      <c r="L17" s="94">
        <v>15</v>
      </c>
      <c r="M17" s="96">
        <f t="shared" si="4"/>
        <v>675</v>
      </c>
      <c r="N17" s="58">
        <f t="shared" si="3"/>
        <v>8360.625</v>
      </c>
    </row>
    <row r="18" spans="1:16" x14ac:dyDescent="0.2">
      <c r="A18" s="55">
        <v>676</v>
      </c>
      <c r="B18" s="39" t="s">
        <v>35</v>
      </c>
      <c r="C18" s="59">
        <v>3.8</v>
      </c>
      <c r="D18" s="72">
        <f t="shared" si="0"/>
        <v>525</v>
      </c>
      <c r="E18" s="73">
        <f t="shared" si="1"/>
        <v>528</v>
      </c>
      <c r="F18" s="73">
        <f t="shared" si="1"/>
        <v>550</v>
      </c>
      <c r="G18" s="73">
        <f t="shared" si="1"/>
        <v>582.85714285714278</v>
      </c>
      <c r="H18" s="73">
        <f t="shared" si="1"/>
        <v>622.5</v>
      </c>
      <c r="I18" s="73">
        <f t="shared" si="1"/>
        <v>666.66666666666663</v>
      </c>
      <c r="J18" s="74">
        <f t="shared" si="1"/>
        <v>714</v>
      </c>
      <c r="K18" s="55">
        <f t="shared" si="2"/>
        <v>0.2</v>
      </c>
      <c r="L18" s="94">
        <v>13</v>
      </c>
      <c r="M18" s="96">
        <f t="shared" si="4"/>
        <v>585</v>
      </c>
      <c r="N18" s="58">
        <f t="shared" si="3"/>
        <v>7245.875</v>
      </c>
    </row>
    <row r="19" spans="1:16" x14ac:dyDescent="0.2">
      <c r="A19" s="55">
        <v>671</v>
      </c>
      <c r="B19" s="39" t="s">
        <v>30</v>
      </c>
      <c r="C19" s="59">
        <v>4</v>
      </c>
      <c r="D19" s="72">
        <f t="shared" si="0"/>
        <v>540</v>
      </c>
      <c r="E19" s="73">
        <f t="shared" si="1"/>
        <v>540</v>
      </c>
      <c r="F19" s="73">
        <f t="shared" si="1"/>
        <v>560</v>
      </c>
      <c r="G19" s="73">
        <f t="shared" si="1"/>
        <v>591.42857142857133</v>
      </c>
      <c r="H19" s="73">
        <f t="shared" si="1"/>
        <v>630</v>
      </c>
      <c r="I19" s="73">
        <f t="shared" si="1"/>
        <v>673.33333333333337</v>
      </c>
      <c r="J19" s="74">
        <f t="shared" si="1"/>
        <v>720</v>
      </c>
      <c r="K19" s="55">
        <f t="shared" si="2"/>
        <v>0.2</v>
      </c>
      <c r="L19" s="94">
        <v>12</v>
      </c>
      <c r="M19" s="96">
        <f t="shared" si="4"/>
        <v>540</v>
      </c>
      <c r="N19" s="58">
        <f t="shared" si="3"/>
        <v>6688.5</v>
      </c>
    </row>
    <row r="20" spans="1:16" x14ac:dyDescent="0.2">
      <c r="A20" s="55">
        <v>1030</v>
      </c>
      <c r="B20" s="39" t="s">
        <v>39</v>
      </c>
      <c r="C20" s="59">
        <v>4.3</v>
      </c>
      <c r="D20" s="72">
        <f t="shared" si="0"/>
        <v>562.5</v>
      </c>
      <c r="E20" s="73">
        <f t="shared" ref="E20:J27" si="5">($C20/E$9*$C$3)+(E$9/4)/$C$5*60*60*$C$4*2</f>
        <v>558</v>
      </c>
      <c r="F20" s="73">
        <f t="shared" si="5"/>
        <v>575</v>
      </c>
      <c r="G20" s="73">
        <f t="shared" si="5"/>
        <v>604.28571428571422</v>
      </c>
      <c r="H20" s="73">
        <f t="shared" si="5"/>
        <v>641.25</v>
      </c>
      <c r="I20" s="73">
        <f t="shared" si="5"/>
        <v>683.33333333333337</v>
      </c>
      <c r="J20" s="74">
        <f t="shared" si="5"/>
        <v>729</v>
      </c>
      <c r="K20" s="55">
        <f t="shared" si="2"/>
        <v>0.25</v>
      </c>
      <c r="L20" s="94">
        <v>18</v>
      </c>
      <c r="M20" s="96">
        <f t="shared" si="4"/>
        <v>540</v>
      </c>
      <c r="N20" s="58">
        <f t="shared" si="3"/>
        <v>6688.5</v>
      </c>
      <c r="P20" s="91" t="s">
        <v>91</v>
      </c>
    </row>
    <row r="21" spans="1:16" x14ac:dyDescent="0.2">
      <c r="A21" s="55">
        <v>1056</v>
      </c>
      <c r="B21" s="39" t="s">
        <v>41</v>
      </c>
      <c r="C21" s="59">
        <v>4.5</v>
      </c>
      <c r="D21" s="72">
        <f t="shared" si="0"/>
        <v>577.5</v>
      </c>
      <c r="E21" s="73">
        <f t="shared" si="5"/>
        <v>570</v>
      </c>
      <c r="F21" s="73">
        <f t="shared" si="5"/>
        <v>585</v>
      </c>
      <c r="G21" s="73">
        <f t="shared" si="5"/>
        <v>612.85714285714278</v>
      </c>
      <c r="H21" s="73">
        <f t="shared" si="5"/>
        <v>648.75</v>
      </c>
      <c r="I21" s="73">
        <f t="shared" si="5"/>
        <v>690</v>
      </c>
      <c r="J21" s="74">
        <f t="shared" si="5"/>
        <v>735</v>
      </c>
      <c r="K21" s="55">
        <f t="shared" si="2"/>
        <v>0.25</v>
      </c>
      <c r="L21" s="94">
        <v>12</v>
      </c>
      <c r="M21" s="96">
        <f t="shared" si="4"/>
        <v>360</v>
      </c>
      <c r="N21" s="58">
        <f t="shared" si="3"/>
        <v>4459</v>
      </c>
      <c r="P21" t="s">
        <v>43</v>
      </c>
    </row>
    <row r="22" spans="1:16" x14ac:dyDescent="0.2">
      <c r="A22" s="55">
        <v>1052</v>
      </c>
      <c r="B22" s="39" t="s">
        <v>42</v>
      </c>
      <c r="C22" s="59">
        <v>4.7</v>
      </c>
      <c r="D22" s="72">
        <f t="shared" si="0"/>
        <v>592.5</v>
      </c>
      <c r="E22" s="73">
        <f t="shared" si="5"/>
        <v>582</v>
      </c>
      <c r="F22" s="73">
        <f t="shared" si="5"/>
        <v>595</v>
      </c>
      <c r="G22" s="73">
        <f t="shared" si="5"/>
        <v>621.42857142857133</v>
      </c>
      <c r="H22" s="73">
        <f t="shared" si="5"/>
        <v>656.25</v>
      </c>
      <c r="I22" s="73">
        <f t="shared" si="5"/>
        <v>696.66666666666663</v>
      </c>
      <c r="J22" s="74">
        <f t="shared" si="5"/>
        <v>741</v>
      </c>
      <c r="K22" s="55">
        <f t="shared" si="2"/>
        <v>0.25</v>
      </c>
      <c r="L22" s="94">
        <v>14</v>
      </c>
      <c r="M22" s="96">
        <f t="shared" si="4"/>
        <v>420</v>
      </c>
      <c r="N22" s="58">
        <f t="shared" si="3"/>
        <v>5202.166666666667</v>
      </c>
      <c r="P22" t="s">
        <v>49</v>
      </c>
    </row>
    <row r="23" spans="1:16" x14ac:dyDescent="0.2">
      <c r="A23" s="55">
        <v>673</v>
      </c>
      <c r="B23" s="39" t="s">
        <v>32</v>
      </c>
      <c r="C23" s="59">
        <v>4.8</v>
      </c>
      <c r="D23" s="72">
        <f t="shared" si="0"/>
        <v>600</v>
      </c>
      <c r="E23" s="73">
        <f t="shared" si="5"/>
        <v>588</v>
      </c>
      <c r="F23" s="73">
        <f t="shared" si="5"/>
        <v>600</v>
      </c>
      <c r="G23" s="73">
        <f t="shared" si="5"/>
        <v>625.71428571428567</v>
      </c>
      <c r="H23" s="73">
        <f t="shared" si="5"/>
        <v>660</v>
      </c>
      <c r="I23" s="73">
        <f t="shared" si="5"/>
        <v>700</v>
      </c>
      <c r="J23" s="74">
        <f t="shared" si="5"/>
        <v>744</v>
      </c>
      <c r="K23" s="55">
        <f t="shared" si="2"/>
        <v>0.25</v>
      </c>
      <c r="L23" s="94">
        <v>11</v>
      </c>
      <c r="M23" s="96">
        <f t="shared" si="4"/>
        <v>330</v>
      </c>
      <c r="N23" s="58">
        <f t="shared" si="3"/>
        <v>4087.4166666666665</v>
      </c>
      <c r="P23" t="s">
        <v>50</v>
      </c>
    </row>
    <row r="24" spans="1:16" x14ac:dyDescent="0.2">
      <c r="A24" s="55">
        <v>675</v>
      </c>
      <c r="B24" s="39" t="s">
        <v>34</v>
      </c>
      <c r="C24" s="59">
        <v>4.8</v>
      </c>
      <c r="D24" s="72">
        <f t="shared" si="0"/>
        <v>600</v>
      </c>
      <c r="E24" s="73">
        <f t="shared" si="5"/>
        <v>588</v>
      </c>
      <c r="F24" s="73">
        <f t="shared" si="5"/>
        <v>600</v>
      </c>
      <c r="G24" s="73">
        <f t="shared" si="5"/>
        <v>625.71428571428567</v>
      </c>
      <c r="H24" s="73">
        <f t="shared" si="5"/>
        <v>660</v>
      </c>
      <c r="I24" s="73">
        <f t="shared" si="5"/>
        <v>700</v>
      </c>
      <c r="J24" s="74">
        <f t="shared" si="5"/>
        <v>744</v>
      </c>
      <c r="K24" s="55">
        <f t="shared" si="2"/>
        <v>0.25</v>
      </c>
      <c r="L24" s="94">
        <v>13</v>
      </c>
      <c r="M24" s="96">
        <f t="shared" si="4"/>
        <v>390</v>
      </c>
      <c r="N24" s="58">
        <f t="shared" si="3"/>
        <v>4830.583333333333</v>
      </c>
      <c r="P24" t="s">
        <v>51</v>
      </c>
    </row>
    <row r="25" spans="1:16" x14ac:dyDescent="0.2">
      <c r="A25" s="55">
        <v>1033</v>
      </c>
      <c r="B25" s="39" t="s">
        <v>25</v>
      </c>
      <c r="C25" s="59">
        <v>4.5999999999999996</v>
      </c>
      <c r="D25" s="72">
        <f t="shared" si="0"/>
        <v>585</v>
      </c>
      <c r="E25" s="73">
        <f t="shared" si="5"/>
        <v>576</v>
      </c>
      <c r="F25" s="73">
        <f t="shared" si="5"/>
        <v>589.99999999999989</v>
      </c>
      <c r="G25" s="73">
        <f t="shared" si="5"/>
        <v>617.14285714285711</v>
      </c>
      <c r="H25" s="73">
        <f t="shared" si="5"/>
        <v>652.5</v>
      </c>
      <c r="I25" s="73">
        <f t="shared" si="5"/>
        <v>693.33333333333326</v>
      </c>
      <c r="J25" s="74">
        <f t="shared" si="5"/>
        <v>738</v>
      </c>
      <c r="K25" s="55">
        <f t="shared" si="2"/>
        <v>0.25</v>
      </c>
      <c r="L25" s="94">
        <v>16</v>
      </c>
      <c r="M25" s="96">
        <f t="shared" si="4"/>
        <v>480</v>
      </c>
      <c r="N25" s="58">
        <f t="shared" si="3"/>
        <v>5945.333333333333</v>
      </c>
      <c r="P25" t="s">
        <v>46</v>
      </c>
    </row>
    <row r="26" spans="1:16" x14ac:dyDescent="0.2">
      <c r="A26" s="55" t="s">
        <v>40</v>
      </c>
      <c r="B26" s="39" t="s">
        <v>85</v>
      </c>
      <c r="C26" s="59">
        <v>5.4</v>
      </c>
      <c r="D26" s="72">
        <f t="shared" si="0"/>
        <v>645</v>
      </c>
      <c r="E26" s="73">
        <f t="shared" si="5"/>
        <v>624</v>
      </c>
      <c r="F26" s="73">
        <f t="shared" si="5"/>
        <v>630</v>
      </c>
      <c r="G26" s="73">
        <f t="shared" si="5"/>
        <v>651.42857142857133</v>
      </c>
      <c r="H26" s="73">
        <f t="shared" si="5"/>
        <v>682.5</v>
      </c>
      <c r="I26" s="73">
        <f t="shared" si="5"/>
        <v>720</v>
      </c>
      <c r="J26" s="74">
        <f t="shared" si="5"/>
        <v>762</v>
      </c>
      <c r="K26" s="55">
        <f t="shared" si="2"/>
        <v>0.25</v>
      </c>
      <c r="L26" s="94">
        <v>13</v>
      </c>
      <c r="M26" s="96">
        <f t="shared" si="4"/>
        <v>390</v>
      </c>
      <c r="N26" s="58">
        <f t="shared" si="3"/>
        <v>4830.583333333333</v>
      </c>
      <c r="P26" s="29" t="s">
        <v>18</v>
      </c>
    </row>
    <row r="27" spans="1:16" x14ac:dyDescent="0.2">
      <c r="A27" s="55">
        <v>1027</v>
      </c>
      <c r="B27" s="39" t="s">
        <v>38</v>
      </c>
      <c r="C27" s="59">
        <v>5.9</v>
      </c>
      <c r="D27" s="69">
        <f t="shared" si="0"/>
        <v>682.5</v>
      </c>
      <c r="E27" s="70">
        <f t="shared" si="5"/>
        <v>654</v>
      </c>
      <c r="F27" s="70">
        <f t="shared" si="5"/>
        <v>655</v>
      </c>
      <c r="G27" s="70">
        <f t="shared" si="5"/>
        <v>672.85714285714278</v>
      </c>
      <c r="H27" s="70">
        <f t="shared" si="5"/>
        <v>701.25</v>
      </c>
      <c r="I27" s="70">
        <f t="shared" si="5"/>
        <v>736.66666666666663</v>
      </c>
      <c r="J27" s="71">
        <f t="shared" si="5"/>
        <v>777</v>
      </c>
      <c r="K27" s="55">
        <f t="shared" si="2"/>
        <v>0.25</v>
      </c>
      <c r="L27" s="94">
        <v>15</v>
      </c>
      <c r="M27" s="96">
        <f t="shared" si="4"/>
        <v>450</v>
      </c>
      <c r="N27" s="58">
        <f t="shared" si="3"/>
        <v>5573.75</v>
      </c>
      <c r="P27" s="1"/>
    </row>
    <row r="28" spans="1:16" x14ac:dyDescent="0.2">
      <c r="A28" s="60"/>
      <c r="B28" s="61" t="s">
        <v>44</v>
      </c>
      <c r="C28" s="62"/>
      <c r="D28" s="62">
        <f t="shared" ref="D28:J28" si="6">COUNTIFS($K$10:$K$27,D9)</f>
        <v>10</v>
      </c>
      <c r="E28" s="62">
        <f t="shared" si="6"/>
        <v>8</v>
      </c>
      <c r="F28" s="62">
        <f t="shared" si="6"/>
        <v>0</v>
      </c>
      <c r="G28" s="62">
        <f t="shared" si="6"/>
        <v>0</v>
      </c>
      <c r="H28" s="62">
        <f t="shared" si="6"/>
        <v>0</v>
      </c>
      <c r="I28" s="62">
        <f t="shared" si="6"/>
        <v>0</v>
      </c>
      <c r="J28" s="62">
        <f t="shared" si="6"/>
        <v>0</v>
      </c>
      <c r="K28" s="60"/>
      <c r="L28" s="63"/>
      <c r="M28" s="99"/>
      <c r="N28" s="64">
        <f>SUM(N10:N27)</f>
        <v>92895.833333333328</v>
      </c>
    </row>
    <row r="29" spans="1:16" x14ac:dyDescent="0.2">
      <c r="A29" s="30"/>
      <c r="B29" s="33"/>
      <c r="C29" s="31"/>
      <c r="D29" s="32"/>
      <c r="E29" s="32"/>
      <c r="F29" s="32"/>
      <c r="G29" s="32"/>
      <c r="H29" s="32"/>
      <c r="I29" s="32"/>
      <c r="J29" s="32"/>
      <c r="K29" s="30"/>
      <c r="M29" s="29"/>
    </row>
    <row r="30" spans="1:16" x14ac:dyDescent="0.2">
      <c r="A30" s="30"/>
      <c r="B30" s="81" t="s">
        <v>92</v>
      </c>
      <c r="C30" s="31"/>
      <c r="D30" s="32"/>
      <c r="E30" s="32"/>
      <c r="F30" s="32"/>
      <c r="G30" s="32"/>
      <c r="H30" s="32"/>
      <c r="I30" s="32"/>
      <c r="J30" s="32"/>
      <c r="K30" s="30"/>
      <c r="L30" s="28"/>
    </row>
    <row r="31" spans="1:16" x14ac:dyDescent="0.2">
      <c r="A31" s="30"/>
      <c r="B31" s="1" t="s">
        <v>89</v>
      </c>
      <c r="C31" s="31"/>
      <c r="D31" s="32"/>
      <c r="E31" s="32"/>
      <c r="F31" s="32"/>
      <c r="G31" s="32"/>
      <c r="H31" s="32"/>
      <c r="I31" s="32"/>
      <c r="J31" s="32"/>
      <c r="K31" s="30"/>
    </row>
    <row r="32" spans="1:16" x14ac:dyDescent="0.2">
      <c r="A32" s="30"/>
      <c r="B32" s="33"/>
      <c r="C32" s="31"/>
      <c r="D32" s="32"/>
      <c r="E32" s="32"/>
      <c r="F32" s="32"/>
      <c r="G32" s="32"/>
      <c r="H32" s="32"/>
      <c r="I32" s="32"/>
      <c r="J32" s="32"/>
      <c r="K32" s="30"/>
    </row>
    <row r="33" spans="1:11" x14ac:dyDescent="0.2">
      <c r="A33" s="20"/>
      <c r="B33" s="2"/>
      <c r="C33" s="23"/>
      <c r="D33" s="24"/>
      <c r="E33" s="24"/>
      <c r="F33" s="24"/>
      <c r="G33" s="24"/>
      <c r="H33" s="24"/>
      <c r="I33" s="24"/>
      <c r="J33" s="24"/>
      <c r="K33" s="21" t="s">
        <v>47</v>
      </c>
    </row>
    <row r="34" spans="1:11" x14ac:dyDescent="0.2">
      <c r="A34" s="20"/>
      <c r="B34" s="2"/>
      <c r="C34" s="23"/>
      <c r="D34" s="25">
        <v>0.2</v>
      </c>
      <c r="E34" s="26">
        <v>0.25</v>
      </c>
      <c r="F34" s="26">
        <v>0.3</v>
      </c>
      <c r="G34" s="26">
        <v>0.35</v>
      </c>
      <c r="H34" s="26">
        <v>0.4</v>
      </c>
      <c r="I34" s="26">
        <v>0.45</v>
      </c>
      <c r="J34" s="27">
        <v>0.5</v>
      </c>
      <c r="K34" s="21" t="s">
        <v>48</v>
      </c>
    </row>
    <row r="35" spans="1:11" x14ac:dyDescent="0.2">
      <c r="A35" s="20"/>
      <c r="B35" s="2"/>
      <c r="C35" s="23">
        <v>2</v>
      </c>
      <c r="D35" s="24">
        <f>IFERROR(($C35/D$9*$C$3)+(D$9/4)/$C$5*60*60*$C$4*2, 0)</f>
        <v>390</v>
      </c>
      <c r="E35" s="24">
        <f t="shared" ref="E35:J35" si="7">($C35/E$9*$C$3)+(E$9/4)/$C$5*60*60*$C$4*2</f>
        <v>420</v>
      </c>
      <c r="F35" s="24">
        <f t="shared" si="7"/>
        <v>459.99999999999994</v>
      </c>
      <c r="G35" s="24">
        <f t="shared" si="7"/>
        <v>505.71428571428567</v>
      </c>
      <c r="H35" s="24">
        <f t="shared" si="7"/>
        <v>555</v>
      </c>
      <c r="I35" s="24">
        <f t="shared" si="7"/>
        <v>606.66666666666663</v>
      </c>
      <c r="J35" s="24">
        <f t="shared" si="7"/>
        <v>660</v>
      </c>
      <c r="K35" s="20">
        <f>INDEX($D$9:$J$9, 1, MATCH(MIN(D35:J35), D35:J35, 0))</f>
        <v>0.2</v>
      </c>
    </row>
    <row r="36" spans="1:11" x14ac:dyDescent="0.2">
      <c r="A36" s="20"/>
      <c r="B36" s="2"/>
      <c r="C36" s="23" t="str">
        <f>CONCATENATE("Min", C35)</f>
        <v>Min2</v>
      </c>
      <c r="D36" s="24">
        <f>IF(D35=MIN($D35:$J35), D35, NA())</f>
        <v>390</v>
      </c>
      <c r="E36" s="24" t="e">
        <f t="shared" ref="E36:J36" si="8">IF(E35=MIN($D35:$J35), E35, NA())</f>
        <v>#N/A</v>
      </c>
      <c r="F36" s="24" t="e">
        <f t="shared" si="8"/>
        <v>#N/A</v>
      </c>
      <c r="G36" s="24" t="e">
        <f t="shared" si="8"/>
        <v>#N/A</v>
      </c>
      <c r="H36" s="24" t="e">
        <f t="shared" si="8"/>
        <v>#N/A</v>
      </c>
      <c r="I36" s="24" t="e">
        <f t="shared" si="8"/>
        <v>#N/A</v>
      </c>
      <c r="J36" s="24" t="e">
        <f t="shared" si="8"/>
        <v>#N/A</v>
      </c>
      <c r="K36" s="20"/>
    </row>
    <row r="37" spans="1:11" x14ac:dyDescent="0.2">
      <c r="A37" s="20"/>
      <c r="B37" s="2"/>
      <c r="C37" s="23">
        <v>3</v>
      </c>
      <c r="D37" s="24">
        <f>IFERROR(($C37/D$9*$C$3)+(D$9/4)/$C$5*60*60*$C$4*2, 0)</f>
        <v>465</v>
      </c>
      <c r="E37" s="24">
        <f t="shared" ref="E37:J37" si="9">($C37/E$9*$C$3)+(E$9/4)/$C$5*60*60*$C$4*2</f>
        <v>480</v>
      </c>
      <c r="F37" s="24">
        <f t="shared" si="9"/>
        <v>509.99999999999994</v>
      </c>
      <c r="G37" s="24">
        <f t="shared" si="9"/>
        <v>548.57142857142844</v>
      </c>
      <c r="H37" s="24">
        <f t="shared" si="9"/>
        <v>592.5</v>
      </c>
      <c r="I37" s="24">
        <f t="shared" si="9"/>
        <v>640</v>
      </c>
      <c r="J37" s="24">
        <f t="shared" si="9"/>
        <v>690</v>
      </c>
      <c r="K37" s="20">
        <f t="shared" ref="K37:K61" si="10">INDEX($D$9:$J$9, 1, MATCH(MIN(D37:J37), D37:J37, 0))</f>
        <v>0.2</v>
      </c>
    </row>
    <row r="38" spans="1:11" x14ac:dyDescent="0.2">
      <c r="A38" s="20"/>
      <c r="B38" s="2"/>
      <c r="C38" s="23" t="str">
        <f>CONCATENATE("Min", C37)</f>
        <v>Min3</v>
      </c>
      <c r="D38" s="24">
        <f>IF(D37=MIN($D37:$J37), D37, NA())</f>
        <v>465</v>
      </c>
      <c r="E38" s="24" t="e">
        <f t="shared" ref="E38:J38" si="11">IF(E37=MIN($D37:$J37), E37, NA())</f>
        <v>#N/A</v>
      </c>
      <c r="F38" s="24" t="e">
        <f t="shared" si="11"/>
        <v>#N/A</v>
      </c>
      <c r="G38" s="24" t="e">
        <f t="shared" si="11"/>
        <v>#N/A</v>
      </c>
      <c r="H38" s="24" t="e">
        <f t="shared" si="11"/>
        <v>#N/A</v>
      </c>
      <c r="I38" s="24" t="e">
        <f t="shared" si="11"/>
        <v>#N/A</v>
      </c>
      <c r="J38" s="24" t="e">
        <f t="shared" si="11"/>
        <v>#N/A</v>
      </c>
      <c r="K38" s="20" t="e">
        <f t="shared" si="10"/>
        <v>#N/A</v>
      </c>
    </row>
    <row r="39" spans="1:11" x14ac:dyDescent="0.2">
      <c r="A39" s="20"/>
      <c r="B39" s="2"/>
      <c r="C39" s="23">
        <v>4</v>
      </c>
      <c r="D39" s="24">
        <f>IFERROR(($C39/D$9*$C$3)+(D$9/4)/$C$5*60*60*$C$4*2, 0)</f>
        <v>540</v>
      </c>
      <c r="E39" s="24">
        <f t="shared" ref="E39:J39" si="12">($C39/E$9*$C$3)+(E$9/4)/$C$5*60*60*$C$4*2</f>
        <v>540</v>
      </c>
      <c r="F39" s="24">
        <f t="shared" si="12"/>
        <v>560</v>
      </c>
      <c r="G39" s="24">
        <f t="shared" si="12"/>
        <v>591.42857142857133</v>
      </c>
      <c r="H39" s="24">
        <f t="shared" si="12"/>
        <v>630</v>
      </c>
      <c r="I39" s="24">
        <f t="shared" si="12"/>
        <v>673.33333333333337</v>
      </c>
      <c r="J39" s="24">
        <f t="shared" si="12"/>
        <v>720</v>
      </c>
      <c r="K39" s="20">
        <f t="shared" si="10"/>
        <v>0.2</v>
      </c>
    </row>
    <row r="40" spans="1:11" x14ac:dyDescent="0.2">
      <c r="A40" s="20"/>
      <c r="B40" s="2"/>
      <c r="C40" s="23" t="str">
        <f>CONCATENATE("Min", C39)</f>
        <v>Min4</v>
      </c>
      <c r="D40" s="24">
        <f>IF(D39=MIN($D39:$J39), D39, NA())</f>
        <v>540</v>
      </c>
      <c r="E40" s="24">
        <f t="shared" ref="E40:J40" si="13">IF(E39=MIN($D39:$J39), E39, NA())</f>
        <v>540</v>
      </c>
      <c r="F40" s="24" t="e">
        <f t="shared" si="13"/>
        <v>#N/A</v>
      </c>
      <c r="G40" s="24" t="e">
        <f t="shared" si="13"/>
        <v>#N/A</v>
      </c>
      <c r="H40" s="24" t="e">
        <f t="shared" si="13"/>
        <v>#N/A</v>
      </c>
      <c r="I40" s="24" t="e">
        <f t="shared" si="13"/>
        <v>#N/A</v>
      </c>
      <c r="J40" s="24" t="e">
        <f t="shared" si="13"/>
        <v>#N/A</v>
      </c>
      <c r="K40" s="20" t="e">
        <f t="shared" si="10"/>
        <v>#N/A</v>
      </c>
    </row>
    <row r="41" spans="1:11" x14ac:dyDescent="0.2">
      <c r="A41" s="20"/>
      <c r="B41" s="2"/>
      <c r="C41" s="23">
        <v>5</v>
      </c>
      <c r="D41" s="24">
        <f>IFERROR(($C41/D$9*$C$3)+(D$9/4)/$C$5*60*60*$C$4*2, 0)</f>
        <v>615</v>
      </c>
      <c r="E41" s="24">
        <f t="shared" ref="E41:J41" si="14">($C41/E$9*$C$3)+(E$9/4)/$C$5*60*60*$C$4*2</f>
        <v>600</v>
      </c>
      <c r="F41" s="24">
        <f t="shared" si="14"/>
        <v>610</v>
      </c>
      <c r="G41" s="24">
        <f t="shared" si="14"/>
        <v>634.28571428571422</v>
      </c>
      <c r="H41" s="24">
        <f t="shared" si="14"/>
        <v>667.5</v>
      </c>
      <c r="I41" s="24">
        <f t="shared" si="14"/>
        <v>706.66666666666663</v>
      </c>
      <c r="J41" s="24">
        <f t="shared" si="14"/>
        <v>750</v>
      </c>
      <c r="K41" s="20">
        <f t="shared" si="10"/>
        <v>0.25</v>
      </c>
    </row>
    <row r="42" spans="1:11" x14ac:dyDescent="0.2">
      <c r="A42" s="20"/>
      <c r="B42" s="2"/>
      <c r="C42" s="23" t="str">
        <f>CONCATENATE("Min", C41)</f>
        <v>Min5</v>
      </c>
      <c r="D42" s="24" t="e">
        <f>IF(D41=MIN($D41:$J41), D41, NA())</f>
        <v>#N/A</v>
      </c>
      <c r="E42" s="24">
        <f t="shared" ref="E42:J42" si="15">IF(E41=MIN($D41:$J41), E41, NA())</f>
        <v>600</v>
      </c>
      <c r="F42" s="24" t="e">
        <f t="shared" si="15"/>
        <v>#N/A</v>
      </c>
      <c r="G42" s="24" t="e">
        <f t="shared" si="15"/>
        <v>#N/A</v>
      </c>
      <c r="H42" s="24" t="e">
        <f t="shared" si="15"/>
        <v>#N/A</v>
      </c>
      <c r="I42" s="24" t="e">
        <f t="shared" si="15"/>
        <v>#N/A</v>
      </c>
      <c r="J42" s="24" t="e">
        <f t="shared" si="15"/>
        <v>#N/A</v>
      </c>
      <c r="K42" s="20" t="e">
        <f t="shared" si="10"/>
        <v>#N/A</v>
      </c>
    </row>
    <row r="43" spans="1:11" x14ac:dyDescent="0.2">
      <c r="A43" s="20"/>
      <c r="B43" s="2"/>
      <c r="C43" s="23">
        <v>5</v>
      </c>
      <c r="D43" s="24">
        <f>IFERROR(($C43/D$9*$C$3)+(D$9/4)/$C$5*60*60*$C$4*2, 0)</f>
        <v>615</v>
      </c>
      <c r="E43" s="24">
        <f t="shared" ref="E43:J43" si="16">($C43/E$9*$C$3)+(E$9/4)/$C$5*60*60*$C$4*2</f>
        <v>600</v>
      </c>
      <c r="F43" s="24">
        <f t="shared" si="16"/>
        <v>610</v>
      </c>
      <c r="G43" s="24">
        <f t="shared" si="16"/>
        <v>634.28571428571422</v>
      </c>
      <c r="H43" s="24">
        <f t="shared" si="16"/>
        <v>667.5</v>
      </c>
      <c r="I43" s="24">
        <f t="shared" si="16"/>
        <v>706.66666666666663</v>
      </c>
      <c r="J43" s="24">
        <f t="shared" si="16"/>
        <v>750</v>
      </c>
      <c r="K43" s="20">
        <f t="shared" si="10"/>
        <v>0.25</v>
      </c>
    </row>
    <row r="44" spans="1:11" x14ac:dyDescent="0.2">
      <c r="A44" s="20"/>
      <c r="B44" s="2"/>
      <c r="C44" s="23" t="str">
        <f>CONCATENATE("Min", C43)</f>
        <v>Min5</v>
      </c>
      <c r="D44" s="24" t="e">
        <f>IF(D43=MIN($D43:$J43), D43, NA())</f>
        <v>#N/A</v>
      </c>
      <c r="E44" s="24">
        <f t="shared" ref="E44:J44" si="17">IF(E43=MIN($D43:$J43), E43, NA())</f>
        <v>600</v>
      </c>
      <c r="F44" s="24" t="e">
        <f t="shared" si="17"/>
        <v>#N/A</v>
      </c>
      <c r="G44" s="24" t="e">
        <f t="shared" si="17"/>
        <v>#N/A</v>
      </c>
      <c r="H44" s="24" t="e">
        <f t="shared" si="17"/>
        <v>#N/A</v>
      </c>
      <c r="I44" s="24" t="e">
        <f t="shared" si="17"/>
        <v>#N/A</v>
      </c>
      <c r="J44" s="24" t="e">
        <f t="shared" si="17"/>
        <v>#N/A</v>
      </c>
      <c r="K44" s="20" t="e">
        <f t="shared" si="10"/>
        <v>#N/A</v>
      </c>
    </row>
    <row r="45" spans="1:11" x14ac:dyDescent="0.2">
      <c r="A45" s="20"/>
      <c r="B45" s="2"/>
      <c r="C45" s="23">
        <v>6</v>
      </c>
      <c r="D45" s="24">
        <f>IFERROR(($C45/D$9*$C$3)+(D$9/4)/$C$5*60*60*$C$4*2, 0)</f>
        <v>690</v>
      </c>
      <c r="E45" s="24">
        <f t="shared" ref="E45:J45" si="18">($C45/E$9*$C$3)+(E$9/4)/$C$5*60*60*$C$4*2</f>
        <v>660</v>
      </c>
      <c r="F45" s="24">
        <f t="shared" si="18"/>
        <v>660</v>
      </c>
      <c r="G45" s="24">
        <f t="shared" si="18"/>
        <v>677.14285714285711</v>
      </c>
      <c r="H45" s="24">
        <f t="shared" si="18"/>
        <v>705</v>
      </c>
      <c r="I45" s="24">
        <f t="shared" si="18"/>
        <v>740</v>
      </c>
      <c r="J45" s="24">
        <f t="shared" si="18"/>
        <v>780</v>
      </c>
      <c r="K45" s="20">
        <f t="shared" si="10"/>
        <v>0.25</v>
      </c>
    </row>
    <row r="46" spans="1:11" x14ac:dyDescent="0.2">
      <c r="A46" s="20"/>
      <c r="B46" s="2"/>
      <c r="C46" s="23" t="str">
        <f>CONCATENATE("Min", C45)</f>
        <v>Min6</v>
      </c>
      <c r="D46" s="24" t="e">
        <f>IF(D45=MIN($D45:$J45), D45, NA())</f>
        <v>#N/A</v>
      </c>
      <c r="E46" s="24">
        <f t="shared" ref="E46:J46" si="19">IF(E45=MIN($D45:$J45), E45, NA())</f>
        <v>660</v>
      </c>
      <c r="F46" s="24">
        <f t="shared" si="19"/>
        <v>660</v>
      </c>
      <c r="G46" s="24" t="e">
        <f t="shared" si="19"/>
        <v>#N/A</v>
      </c>
      <c r="H46" s="24" t="e">
        <f t="shared" si="19"/>
        <v>#N/A</v>
      </c>
      <c r="I46" s="24" t="e">
        <f t="shared" si="19"/>
        <v>#N/A</v>
      </c>
      <c r="J46" s="24" t="e">
        <f t="shared" si="19"/>
        <v>#N/A</v>
      </c>
      <c r="K46" s="20" t="e">
        <f t="shared" si="10"/>
        <v>#N/A</v>
      </c>
    </row>
    <row r="47" spans="1:11" x14ac:dyDescent="0.2">
      <c r="A47" s="20"/>
      <c r="B47" s="2"/>
      <c r="C47" s="23">
        <v>7</v>
      </c>
      <c r="D47" s="24">
        <f>IFERROR(($C47/D$9*$C$3)+(D$9/4)/$C$5*60*60*$C$4*2, 0)</f>
        <v>765</v>
      </c>
      <c r="E47" s="24">
        <f t="shared" ref="E47:J47" si="20">($C47/E$9*$C$3)+(E$9/4)/$C$5*60*60*$C$4*2</f>
        <v>720</v>
      </c>
      <c r="F47" s="24">
        <f t="shared" si="20"/>
        <v>710</v>
      </c>
      <c r="G47" s="24">
        <f t="shared" si="20"/>
        <v>720</v>
      </c>
      <c r="H47" s="24">
        <f t="shared" si="20"/>
        <v>742.5</v>
      </c>
      <c r="I47" s="24">
        <f t="shared" si="20"/>
        <v>773.33333333333337</v>
      </c>
      <c r="J47" s="24">
        <f t="shared" si="20"/>
        <v>810</v>
      </c>
      <c r="K47" s="20">
        <f t="shared" si="10"/>
        <v>0.3</v>
      </c>
    </row>
    <row r="48" spans="1:11" x14ac:dyDescent="0.2">
      <c r="A48" s="20"/>
      <c r="B48" s="2"/>
      <c r="C48" s="23" t="str">
        <f>CONCATENATE("Min", C47)</f>
        <v>Min7</v>
      </c>
      <c r="D48" s="24" t="e">
        <f>IF(D47=MIN($D47:$J47), D47, NA())</f>
        <v>#N/A</v>
      </c>
      <c r="E48" s="24" t="e">
        <f t="shared" ref="E48:J48" si="21">IF(E47=MIN($D47:$J47), E47, NA())</f>
        <v>#N/A</v>
      </c>
      <c r="F48" s="24">
        <f t="shared" si="21"/>
        <v>710</v>
      </c>
      <c r="G48" s="24" t="e">
        <f t="shared" si="21"/>
        <v>#N/A</v>
      </c>
      <c r="H48" s="24" t="e">
        <f t="shared" si="21"/>
        <v>#N/A</v>
      </c>
      <c r="I48" s="24" t="e">
        <f t="shared" si="21"/>
        <v>#N/A</v>
      </c>
      <c r="J48" s="24" t="e">
        <f t="shared" si="21"/>
        <v>#N/A</v>
      </c>
      <c r="K48" s="20" t="e">
        <f t="shared" si="10"/>
        <v>#N/A</v>
      </c>
    </row>
    <row r="49" spans="1:11" x14ac:dyDescent="0.2">
      <c r="A49" s="20"/>
      <c r="B49" s="2"/>
      <c r="C49" s="23"/>
      <c r="D49" s="24">
        <f t="shared" ref="D49:D61" si="22">IFERROR(($C49/D$9*$C$3)+(D$9/4)/$C$5*60*60*$C$4*2, 0)</f>
        <v>240</v>
      </c>
      <c r="E49" s="24">
        <f t="shared" ref="E49:J61" si="23">($C49/E$9*$C$3)+(E$9/4)/$C$5*60*60*$C$4*2</f>
        <v>300</v>
      </c>
      <c r="F49" s="24">
        <f t="shared" si="23"/>
        <v>359.99999999999994</v>
      </c>
      <c r="G49" s="24">
        <f t="shared" si="23"/>
        <v>419.99999999999994</v>
      </c>
      <c r="H49" s="24">
        <f t="shared" si="23"/>
        <v>480</v>
      </c>
      <c r="I49" s="24">
        <f t="shared" si="23"/>
        <v>540</v>
      </c>
      <c r="J49" s="24">
        <f t="shared" si="23"/>
        <v>600</v>
      </c>
      <c r="K49" s="20">
        <f t="shared" si="10"/>
        <v>0.2</v>
      </c>
    </row>
    <row r="50" spans="1:11" x14ac:dyDescent="0.2">
      <c r="A50" s="20"/>
      <c r="B50" s="2"/>
      <c r="C50" s="23"/>
      <c r="D50" s="24">
        <f t="shared" si="22"/>
        <v>240</v>
      </c>
      <c r="E50" s="24">
        <f t="shared" si="23"/>
        <v>300</v>
      </c>
      <c r="F50" s="24">
        <f t="shared" si="23"/>
        <v>359.99999999999994</v>
      </c>
      <c r="G50" s="24">
        <f t="shared" si="23"/>
        <v>419.99999999999994</v>
      </c>
      <c r="H50" s="24">
        <f t="shared" si="23"/>
        <v>480</v>
      </c>
      <c r="I50" s="24">
        <f t="shared" si="23"/>
        <v>540</v>
      </c>
      <c r="J50" s="24">
        <f t="shared" si="23"/>
        <v>600</v>
      </c>
      <c r="K50" s="20">
        <f t="shared" si="10"/>
        <v>0.2</v>
      </c>
    </row>
    <row r="51" spans="1:11" x14ac:dyDescent="0.2">
      <c r="A51" s="20"/>
      <c r="B51" s="2"/>
      <c r="C51" s="23"/>
      <c r="D51" s="24">
        <f t="shared" si="22"/>
        <v>240</v>
      </c>
      <c r="E51" s="24">
        <f t="shared" si="23"/>
        <v>300</v>
      </c>
      <c r="F51" s="24">
        <f t="shared" si="23"/>
        <v>359.99999999999994</v>
      </c>
      <c r="G51" s="24">
        <f t="shared" si="23"/>
        <v>419.99999999999994</v>
      </c>
      <c r="H51" s="24">
        <f t="shared" si="23"/>
        <v>480</v>
      </c>
      <c r="I51" s="24">
        <f t="shared" si="23"/>
        <v>540</v>
      </c>
      <c r="J51" s="24">
        <f t="shared" si="23"/>
        <v>600</v>
      </c>
      <c r="K51" s="20">
        <f t="shared" si="10"/>
        <v>0.2</v>
      </c>
    </row>
    <row r="52" spans="1:11" x14ac:dyDescent="0.2">
      <c r="A52" s="20"/>
      <c r="B52" s="2"/>
      <c r="C52" s="23"/>
      <c r="D52" s="24">
        <f t="shared" si="22"/>
        <v>240</v>
      </c>
      <c r="E52" s="24">
        <f t="shared" si="23"/>
        <v>300</v>
      </c>
      <c r="F52" s="24">
        <f t="shared" si="23"/>
        <v>359.99999999999994</v>
      </c>
      <c r="G52" s="24">
        <f t="shared" si="23"/>
        <v>419.99999999999994</v>
      </c>
      <c r="H52" s="24">
        <f t="shared" si="23"/>
        <v>480</v>
      </c>
      <c r="I52" s="24">
        <f t="shared" si="23"/>
        <v>540</v>
      </c>
      <c r="J52" s="24">
        <f t="shared" si="23"/>
        <v>600</v>
      </c>
      <c r="K52" s="20">
        <f t="shared" si="10"/>
        <v>0.2</v>
      </c>
    </row>
    <row r="53" spans="1:11" x14ac:dyDescent="0.2">
      <c r="A53" s="20"/>
      <c r="B53" s="2"/>
      <c r="C53" s="23"/>
      <c r="D53" s="24">
        <f t="shared" si="22"/>
        <v>240</v>
      </c>
      <c r="E53" s="24">
        <f t="shared" si="23"/>
        <v>300</v>
      </c>
      <c r="F53" s="24">
        <f t="shared" si="23"/>
        <v>359.99999999999994</v>
      </c>
      <c r="G53" s="24">
        <f t="shared" si="23"/>
        <v>419.99999999999994</v>
      </c>
      <c r="H53" s="24">
        <f t="shared" si="23"/>
        <v>480</v>
      </c>
      <c r="I53" s="24">
        <f t="shared" si="23"/>
        <v>540</v>
      </c>
      <c r="J53" s="24">
        <f t="shared" si="23"/>
        <v>600</v>
      </c>
      <c r="K53" s="20">
        <f t="shared" si="10"/>
        <v>0.2</v>
      </c>
    </row>
    <row r="54" spans="1:11" x14ac:dyDescent="0.2">
      <c r="A54" s="20"/>
      <c r="B54" s="2"/>
      <c r="C54" s="23"/>
      <c r="D54" s="24">
        <f t="shared" si="22"/>
        <v>240</v>
      </c>
      <c r="E54" s="24">
        <f t="shared" si="23"/>
        <v>300</v>
      </c>
      <c r="F54" s="24">
        <f t="shared" si="23"/>
        <v>359.99999999999994</v>
      </c>
      <c r="G54" s="24">
        <f t="shared" si="23"/>
        <v>419.99999999999994</v>
      </c>
      <c r="H54" s="24">
        <f t="shared" si="23"/>
        <v>480</v>
      </c>
      <c r="I54" s="24">
        <f t="shared" si="23"/>
        <v>540</v>
      </c>
      <c r="J54" s="24">
        <f t="shared" si="23"/>
        <v>600</v>
      </c>
      <c r="K54" s="20">
        <f t="shared" si="10"/>
        <v>0.2</v>
      </c>
    </row>
    <row r="55" spans="1:11" x14ac:dyDescent="0.2">
      <c r="A55" s="20"/>
      <c r="B55" s="2"/>
      <c r="C55" s="23"/>
      <c r="D55" s="24">
        <f t="shared" si="22"/>
        <v>240</v>
      </c>
      <c r="E55" s="24">
        <f t="shared" si="23"/>
        <v>300</v>
      </c>
      <c r="F55" s="24">
        <f t="shared" si="23"/>
        <v>359.99999999999994</v>
      </c>
      <c r="G55" s="24">
        <f t="shared" si="23"/>
        <v>419.99999999999994</v>
      </c>
      <c r="H55" s="24">
        <f t="shared" si="23"/>
        <v>480</v>
      </c>
      <c r="I55" s="24">
        <f t="shared" si="23"/>
        <v>540</v>
      </c>
      <c r="J55" s="24">
        <f t="shared" si="23"/>
        <v>600</v>
      </c>
      <c r="K55" s="20">
        <f t="shared" si="10"/>
        <v>0.2</v>
      </c>
    </row>
    <row r="56" spans="1:11" x14ac:dyDescent="0.2">
      <c r="A56" s="20"/>
      <c r="B56" s="2"/>
      <c r="C56" s="23"/>
      <c r="D56" s="24">
        <f t="shared" si="22"/>
        <v>240</v>
      </c>
      <c r="E56" s="24">
        <f t="shared" si="23"/>
        <v>300</v>
      </c>
      <c r="F56" s="24">
        <f t="shared" si="23"/>
        <v>359.99999999999994</v>
      </c>
      <c r="G56" s="24">
        <f t="shared" si="23"/>
        <v>419.99999999999994</v>
      </c>
      <c r="H56" s="24">
        <f t="shared" si="23"/>
        <v>480</v>
      </c>
      <c r="I56" s="24">
        <f t="shared" si="23"/>
        <v>540</v>
      </c>
      <c r="J56" s="24">
        <f t="shared" si="23"/>
        <v>600</v>
      </c>
      <c r="K56" s="20">
        <f t="shared" si="10"/>
        <v>0.2</v>
      </c>
    </row>
    <row r="57" spans="1:11" x14ac:dyDescent="0.2">
      <c r="A57" s="20"/>
      <c r="B57" s="2"/>
      <c r="C57" s="23"/>
      <c r="D57" s="24">
        <f t="shared" si="22"/>
        <v>240</v>
      </c>
      <c r="E57" s="24">
        <f t="shared" si="23"/>
        <v>300</v>
      </c>
      <c r="F57" s="24">
        <f t="shared" si="23"/>
        <v>359.99999999999994</v>
      </c>
      <c r="G57" s="24">
        <f t="shared" si="23"/>
        <v>419.99999999999994</v>
      </c>
      <c r="H57" s="24">
        <f t="shared" si="23"/>
        <v>480</v>
      </c>
      <c r="I57" s="24">
        <f t="shared" si="23"/>
        <v>540</v>
      </c>
      <c r="J57" s="24">
        <f t="shared" si="23"/>
        <v>600</v>
      </c>
      <c r="K57" s="20">
        <f t="shared" si="10"/>
        <v>0.2</v>
      </c>
    </row>
    <row r="58" spans="1:11" x14ac:dyDescent="0.2">
      <c r="A58" s="20"/>
      <c r="B58" s="2"/>
      <c r="C58" s="23"/>
      <c r="D58" s="24">
        <f t="shared" si="22"/>
        <v>240</v>
      </c>
      <c r="E58" s="24">
        <f t="shared" si="23"/>
        <v>300</v>
      </c>
      <c r="F58" s="24">
        <f t="shared" si="23"/>
        <v>359.99999999999994</v>
      </c>
      <c r="G58" s="24">
        <f t="shared" si="23"/>
        <v>419.99999999999994</v>
      </c>
      <c r="H58" s="24">
        <f t="shared" si="23"/>
        <v>480</v>
      </c>
      <c r="I58" s="24">
        <f t="shared" si="23"/>
        <v>540</v>
      </c>
      <c r="J58" s="24">
        <f t="shared" si="23"/>
        <v>600</v>
      </c>
      <c r="K58" s="20">
        <f t="shared" si="10"/>
        <v>0.2</v>
      </c>
    </row>
    <row r="59" spans="1:11" x14ac:dyDescent="0.2">
      <c r="A59" s="20"/>
      <c r="B59" s="2"/>
      <c r="C59" s="23"/>
      <c r="D59" s="24">
        <f t="shared" si="22"/>
        <v>240</v>
      </c>
      <c r="E59" s="24">
        <f t="shared" si="23"/>
        <v>300</v>
      </c>
      <c r="F59" s="24">
        <f t="shared" si="23"/>
        <v>359.99999999999994</v>
      </c>
      <c r="G59" s="24">
        <f t="shared" si="23"/>
        <v>419.99999999999994</v>
      </c>
      <c r="H59" s="24">
        <f t="shared" si="23"/>
        <v>480</v>
      </c>
      <c r="I59" s="24">
        <f t="shared" si="23"/>
        <v>540</v>
      </c>
      <c r="J59" s="24">
        <f t="shared" si="23"/>
        <v>600</v>
      </c>
      <c r="K59" s="20">
        <f t="shared" si="10"/>
        <v>0.2</v>
      </c>
    </row>
    <row r="60" spans="1:11" x14ac:dyDescent="0.2">
      <c r="A60" s="20"/>
      <c r="B60" s="2"/>
      <c r="C60" s="23"/>
      <c r="D60" s="24">
        <f t="shared" si="22"/>
        <v>240</v>
      </c>
      <c r="E60" s="24">
        <f t="shared" si="23"/>
        <v>300</v>
      </c>
      <c r="F60" s="24">
        <f t="shared" si="23"/>
        <v>359.99999999999994</v>
      </c>
      <c r="G60" s="24">
        <f t="shared" si="23"/>
        <v>419.99999999999994</v>
      </c>
      <c r="H60" s="24">
        <f t="shared" si="23"/>
        <v>480</v>
      </c>
      <c r="I60" s="24">
        <f t="shared" si="23"/>
        <v>540</v>
      </c>
      <c r="J60" s="24">
        <f t="shared" si="23"/>
        <v>600</v>
      </c>
      <c r="K60" s="20">
        <f t="shared" si="10"/>
        <v>0.2</v>
      </c>
    </row>
    <row r="61" spans="1:11" x14ac:dyDescent="0.2">
      <c r="A61" s="20"/>
      <c r="B61" s="2"/>
      <c r="C61" s="23"/>
      <c r="D61" s="24">
        <f t="shared" si="22"/>
        <v>240</v>
      </c>
      <c r="E61" s="24">
        <f t="shared" si="23"/>
        <v>300</v>
      </c>
      <c r="F61" s="24">
        <f t="shared" si="23"/>
        <v>359.99999999999994</v>
      </c>
      <c r="G61" s="24">
        <f t="shared" si="23"/>
        <v>419.99999999999994</v>
      </c>
      <c r="H61" s="24">
        <f t="shared" si="23"/>
        <v>480</v>
      </c>
      <c r="I61" s="24">
        <f t="shared" si="23"/>
        <v>540</v>
      </c>
      <c r="J61" s="24">
        <f t="shared" si="23"/>
        <v>600</v>
      </c>
      <c r="K61" s="20">
        <f t="shared" si="10"/>
        <v>0.2</v>
      </c>
    </row>
    <row r="82" spans="12:12" x14ac:dyDescent="0.2">
      <c r="L82" s="22" t="s">
        <v>36</v>
      </c>
    </row>
    <row r="83" spans="12:12" x14ac:dyDescent="0.2">
      <c r="L83" s="28">
        <f>MIN(D35:J35)</f>
        <v>390</v>
      </c>
    </row>
    <row r="84" spans="12:12" x14ac:dyDescent="0.2">
      <c r="L84" s="28"/>
    </row>
    <row r="85" spans="12:12" x14ac:dyDescent="0.2">
      <c r="L85" s="28">
        <f t="shared" ref="L85:L89" si="24">MIN(D37:J37)</f>
        <v>465</v>
      </c>
    </row>
    <row r="86" spans="12:12" x14ac:dyDescent="0.2">
      <c r="L86" s="28"/>
    </row>
    <row r="87" spans="12:12" x14ac:dyDescent="0.2">
      <c r="L87" s="28">
        <f t="shared" si="24"/>
        <v>540</v>
      </c>
    </row>
    <row r="88" spans="12:12" x14ac:dyDescent="0.2">
      <c r="L88" s="28"/>
    </row>
    <row r="89" spans="12:12" x14ac:dyDescent="0.2">
      <c r="L89" s="28">
        <f t="shared" si="24"/>
        <v>600</v>
      </c>
    </row>
    <row r="90" spans="12:12" x14ac:dyDescent="0.2">
      <c r="L90" s="28"/>
    </row>
  </sheetData>
  <phoneticPr fontId="18" type="noConversion"/>
  <conditionalFormatting sqref="D10:J27 L10:L27">
    <cfRule type="expression" dxfId="29" priority="10">
      <formula>D10=MIN($D10:$J10)</formula>
    </cfRule>
  </conditionalFormatting>
  <conditionalFormatting sqref="D38:J38">
    <cfRule type="expression" dxfId="28" priority="9">
      <formula>D38=MIN($D38:$J38)</formula>
    </cfRule>
  </conditionalFormatting>
  <conditionalFormatting sqref="D40:J40">
    <cfRule type="expression" dxfId="27" priority="8">
      <formula>D40=MIN($D40:$J40)</formula>
    </cfRule>
  </conditionalFormatting>
  <conditionalFormatting sqref="D42:J42">
    <cfRule type="expression" dxfId="26" priority="7">
      <formula>D42=MIN($D42:$J42)</formula>
    </cfRule>
  </conditionalFormatting>
  <conditionalFormatting sqref="D43:J43">
    <cfRule type="expression" dxfId="25" priority="6">
      <formula>D43=MIN($D43:$J43)</formula>
    </cfRule>
  </conditionalFormatting>
  <conditionalFormatting sqref="D44:J44">
    <cfRule type="expression" dxfId="24" priority="5">
      <formula>D44=MIN($D44:$J44)</formula>
    </cfRule>
  </conditionalFormatting>
  <conditionalFormatting sqref="D45:J45">
    <cfRule type="expression" dxfId="23" priority="4">
      <formula>D45=MIN($D45:$J45)</formula>
    </cfRule>
  </conditionalFormatting>
  <conditionalFormatting sqref="D46:J46">
    <cfRule type="expression" dxfId="22" priority="3">
      <formula>D46=MIN($D46:$J46)</formula>
    </cfRule>
  </conditionalFormatting>
  <conditionalFormatting sqref="D47:J47">
    <cfRule type="expression" dxfId="21" priority="2">
      <formula>D47=MIN($D47:$J47)</formula>
    </cfRule>
  </conditionalFormatting>
  <conditionalFormatting sqref="D48:J48">
    <cfRule type="expression" dxfId="20" priority="1">
      <formula>D48=MIN($D48:$J48)</formula>
    </cfRule>
  </conditionalFormatting>
  <hyperlinks>
    <hyperlink ref="P26" r:id="rId1"/>
  </hyperlinks>
  <pageMargins left="0.5" right="0.5" top="0.75" bottom="0.75" header="0.3" footer="0.3"/>
  <pageSetup pageOrder="overThenDown" orientation="landscape" r:id="rId2"/>
  <headerFooter>
    <oddHeader>&amp;C&amp;"-,Bold"&amp;16Optimal RapidRide Stop Spacing Analysis (2)</oddHead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</sheetPr>
  <dimension ref="A2:P90"/>
  <sheetViews>
    <sheetView showGridLines="0" view="pageLayout" workbookViewId="0">
      <selection activeCell="M21" sqref="M21"/>
    </sheetView>
  </sheetViews>
  <sheetFormatPr baseColWidth="10" defaultColWidth="8.83203125" defaultRowHeight="15" x14ac:dyDescent="0.2"/>
  <cols>
    <col min="1" max="1" width="6.6640625" customWidth="1"/>
    <col min="2" max="2" width="33" customWidth="1"/>
    <col min="3" max="3" width="7.5" customWidth="1"/>
    <col min="4" max="10" width="6.6640625" customWidth="1"/>
    <col min="11" max="11" width="7.5" customWidth="1"/>
    <col min="12" max="12" width="6.6640625" customWidth="1"/>
    <col min="13" max="13" width="8.6640625" customWidth="1"/>
    <col min="14" max="14" width="10.1640625" customWidth="1"/>
  </cols>
  <sheetData>
    <row r="2" spans="1:14" x14ac:dyDescent="0.2">
      <c r="A2" s="87" t="s">
        <v>2</v>
      </c>
      <c r="C2" s="35"/>
      <c r="E2" s="22"/>
      <c r="J2" s="22" t="s">
        <v>17</v>
      </c>
      <c r="M2" s="22" t="s">
        <v>69</v>
      </c>
    </row>
    <row r="3" spans="1:14" x14ac:dyDescent="0.2">
      <c r="A3" s="34" t="s">
        <v>75</v>
      </c>
      <c r="B3" s="39"/>
      <c r="C3" s="92">
        <v>30</v>
      </c>
      <c r="D3" s="83"/>
      <c r="E3" s="84"/>
      <c r="H3" s="84"/>
      <c r="I3" s="84"/>
      <c r="J3" s="39" t="s">
        <v>19</v>
      </c>
      <c r="K3" s="85">
        <f>AVERAGE(K10:K27)</f>
        <v>0.35000000000000009</v>
      </c>
      <c r="M3" s="39" t="s">
        <v>70</v>
      </c>
      <c r="N3" s="97">
        <f>'Est. Annual RR Trips'!G10</f>
        <v>44590</v>
      </c>
    </row>
    <row r="4" spans="1:14" x14ac:dyDescent="0.2">
      <c r="A4" s="39" t="s">
        <v>6</v>
      </c>
      <c r="B4" s="39"/>
      <c r="C4" s="92">
        <v>1.5</v>
      </c>
      <c r="D4" s="84"/>
      <c r="E4" s="84"/>
      <c r="H4" s="84"/>
      <c r="I4" s="84"/>
      <c r="J4" s="39" t="s">
        <v>20</v>
      </c>
      <c r="K4" s="85">
        <f>MEDIAN(K10:K27)</f>
        <v>0.35</v>
      </c>
      <c r="L4" s="84"/>
      <c r="M4" s="90" t="s">
        <v>90</v>
      </c>
    </row>
    <row r="5" spans="1:14" x14ac:dyDescent="0.2">
      <c r="A5" s="39" t="s">
        <v>21</v>
      </c>
      <c r="B5" s="39"/>
      <c r="C5" s="39">
        <v>3</v>
      </c>
      <c r="D5" s="84"/>
      <c r="E5" s="84"/>
      <c r="H5" s="84"/>
      <c r="I5" s="84"/>
      <c r="J5" s="39" t="s">
        <v>22</v>
      </c>
      <c r="K5" s="85">
        <f>_xlfn.MODE.SNGL(K10:K27)</f>
        <v>0.4</v>
      </c>
      <c r="L5" s="84"/>
      <c r="M5" s="84"/>
    </row>
    <row r="7" spans="1:14" ht="4.25" customHeight="1" x14ac:dyDescent="0.2"/>
    <row r="8" spans="1:14" ht="31.25" customHeight="1" x14ac:dyDescent="0.2">
      <c r="C8" s="79" t="s">
        <v>88</v>
      </c>
      <c r="D8" s="66" t="s">
        <v>83</v>
      </c>
      <c r="E8" s="67"/>
      <c r="F8" s="67"/>
      <c r="G8" s="67"/>
      <c r="H8" s="67"/>
      <c r="I8" s="67"/>
      <c r="J8" s="67"/>
      <c r="K8" s="65"/>
      <c r="L8" s="38"/>
      <c r="M8" s="37"/>
      <c r="N8" s="37"/>
    </row>
    <row r="9" spans="1:14" ht="43.25" customHeight="1" x14ac:dyDescent="0.2">
      <c r="A9" s="51" t="s">
        <v>23</v>
      </c>
      <c r="B9" s="51" t="s">
        <v>24</v>
      </c>
      <c r="C9" s="52" t="s">
        <v>84</v>
      </c>
      <c r="D9" s="53">
        <v>0.2</v>
      </c>
      <c r="E9" s="54">
        <v>0.25</v>
      </c>
      <c r="F9" s="54">
        <v>0.3</v>
      </c>
      <c r="G9" s="54">
        <v>0.35</v>
      </c>
      <c r="H9" s="54">
        <v>0.4</v>
      </c>
      <c r="I9" s="54">
        <v>0.45</v>
      </c>
      <c r="J9" s="54">
        <v>0.5</v>
      </c>
      <c r="K9" s="68" t="s">
        <v>45</v>
      </c>
      <c r="L9" s="75" t="s">
        <v>52</v>
      </c>
      <c r="M9" s="76" t="s">
        <v>94</v>
      </c>
      <c r="N9" s="76" t="s">
        <v>71</v>
      </c>
    </row>
    <row r="10" spans="1:14" x14ac:dyDescent="0.2">
      <c r="A10" s="55">
        <v>1059</v>
      </c>
      <c r="B10" s="39" t="s">
        <v>86</v>
      </c>
      <c r="C10" s="56">
        <v>1.4</v>
      </c>
      <c r="D10" s="69">
        <f t="shared" ref="D10:D27" si="0">IFERROR(($C10/D$9*$C$3)+(D$9/4)/$C$5*60*60*$C$4*2, 0)</f>
        <v>390</v>
      </c>
      <c r="E10" s="70">
        <f t="shared" ref="E10:J19" si="1">($C10/E$9*$C$3)+(E$9/4)/$C$5*60*60*$C$4*2</f>
        <v>393</v>
      </c>
      <c r="F10" s="70">
        <f t="shared" si="1"/>
        <v>409.99999999999994</v>
      </c>
      <c r="G10" s="70">
        <f t="shared" si="1"/>
        <v>434.99999999999994</v>
      </c>
      <c r="H10" s="70">
        <f t="shared" si="1"/>
        <v>465</v>
      </c>
      <c r="I10" s="70">
        <f t="shared" si="1"/>
        <v>498.33333333333331</v>
      </c>
      <c r="J10" s="71">
        <f t="shared" si="1"/>
        <v>534</v>
      </c>
      <c r="K10" s="57">
        <f t="shared" ref="K10:K27" si="2">INDEX($D$9:$J$9, 1, MATCH(MIN(D10:J10), D10:J10, 0))</f>
        <v>0.2</v>
      </c>
      <c r="L10" s="93">
        <v>2</v>
      </c>
      <c r="M10" s="95">
        <f>((L10/K10)*$C$3)-((L10/0.5)*$C$3)</f>
        <v>180</v>
      </c>
      <c r="N10" s="58">
        <f t="shared" ref="N10:N27" si="3">M10*$N$3/(60*60)</f>
        <v>2229.5</v>
      </c>
    </row>
    <row r="11" spans="1:14" x14ac:dyDescent="0.2">
      <c r="A11" s="55">
        <v>1012</v>
      </c>
      <c r="B11" s="39" t="s">
        <v>29</v>
      </c>
      <c r="C11" s="59">
        <v>2</v>
      </c>
      <c r="D11" s="72">
        <f t="shared" si="0"/>
        <v>480</v>
      </c>
      <c r="E11" s="73">
        <f t="shared" si="1"/>
        <v>465</v>
      </c>
      <c r="F11" s="73">
        <f t="shared" si="1"/>
        <v>469.99999999999994</v>
      </c>
      <c r="G11" s="73">
        <f t="shared" si="1"/>
        <v>486.42857142857139</v>
      </c>
      <c r="H11" s="73">
        <f t="shared" si="1"/>
        <v>510</v>
      </c>
      <c r="I11" s="73">
        <f t="shared" si="1"/>
        <v>538.33333333333337</v>
      </c>
      <c r="J11" s="74">
        <f t="shared" si="1"/>
        <v>570</v>
      </c>
      <c r="K11" s="55">
        <f t="shared" si="2"/>
        <v>0.25</v>
      </c>
      <c r="L11" s="94">
        <v>6</v>
      </c>
      <c r="M11" s="96">
        <f t="shared" ref="M11:M27" si="4">((L11/K11)*$C$3)-((L11/0.5)*$C$3)</f>
        <v>360</v>
      </c>
      <c r="N11" s="58">
        <f t="shared" si="3"/>
        <v>4459</v>
      </c>
    </row>
    <row r="12" spans="1:14" x14ac:dyDescent="0.2">
      <c r="A12" s="55">
        <v>1013</v>
      </c>
      <c r="B12" s="39" t="s">
        <v>37</v>
      </c>
      <c r="C12" s="59">
        <v>2.2999999999999998</v>
      </c>
      <c r="D12" s="72">
        <f t="shared" si="0"/>
        <v>525</v>
      </c>
      <c r="E12" s="73">
        <f t="shared" si="1"/>
        <v>501</v>
      </c>
      <c r="F12" s="73">
        <f t="shared" si="1"/>
        <v>499.99999999999989</v>
      </c>
      <c r="G12" s="73">
        <f t="shared" si="1"/>
        <v>512.14285714285711</v>
      </c>
      <c r="H12" s="73">
        <f t="shared" si="1"/>
        <v>532.5</v>
      </c>
      <c r="I12" s="73">
        <f t="shared" si="1"/>
        <v>558.33333333333326</v>
      </c>
      <c r="J12" s="74">
        <f t="shared" si="1"/>
        <v>588</v>
      </c>
      <c r="K12" s="55">
        <f t="shared" si="2"/>
        <v>0.3</v>
      </c>
      <c r="L12" s="94">
        <v>7</v>
      </c>
      <c r="M12" s="96">
        <f t="shared" si="4"/>
        <v>280.00000000000011</v>
      </c>
      <c r="N12" s="58">
        <f t="shared" si="3"/>
        <v>3468.1111111111127</v>
      </c>
    </row>
    <row r="13" spans="1:14" x14ac:dyDescent="0.2">
      <c r="A13" s="55">
        <v>1063</v>
      </c>
      <c r="B13" s="77" t="s">
        <v>87</v>
      </c>
      <c r="C13" s="78">
        <v>2.6</v>
      </c>
      <c r="D13" s="72">
        <f t="shared" si="0"/>
        <v>570</v>
      </c>
      <c r="E13" s="73">
        <f t="shared" si="1"/>
        <v>537</v>
      </c>
      <c r="F13" s="73">
        <f t="shared" si="1"/>
        <v>530</v>
      </c>
      <c r="G13" s="73">
        <f t="shared" si="1"/>
        <v>537.85714285714289</v>
      </c>
      <c r="H13" s="73">
        <f t="shared" si="1"/>
        <v>555</v>
      </c>
      <c r="I13" s="73">
        <f t="shared" si="1"/>
        <v>578.33333333333337</v>
      </c>
      <c r="J13" s="74">
        <f t="shared" si="1"/>
        <v>606</v>
      </c>
      <c r="K13" s="55">
        <f t="shared" si="2"/>
        <v>0.3</v>
      </c>
      <c r="L13" s="94">
        <v>11</v>
      </c>
      <c r="M13" s="96">
        <f t="shared" si="4"/>
        <v>440.00000000000023</v>
      </c>
      <c r="N13" s="58">
        <f t="shared" si="3"/>
        <v>5449.8888888888923</v>
      </c>
    </row>
    <row r="14" spans="1:14" x14ac:dyDescent="0.2">
      <c r="A14" s="55">
        <v>674</v>
      </c>
      <c r="B14" s="77" t="s">
        <v>33</v>
      </c>
      <c r="C14" s="59">
        <v>2.9</v>
      </c>
      <c r="D14" s="72">
        <f t="shared" si="0"/>
        <v>615</v>
      </c>
      <c r="E14" s="73">
        <f t="shared" si="1"/>
        <v>573</v>
      </c>
      <c r="F14" s="73">
        <f t="shared" si="1"/>
        <v>560</v>
      </c>
      <c r="G14" s="73">
        <f t="shared" si="1"/>
        <v>563.57142857142856</v>
      </c>
      <c r="H14" s="73">
        <f t="shared" si="1"/>
        <v>577.5</v>
      </c>
      <c r="I14" s="73">
        <f t="shared" si="1"/>
        <v>598.33333333333326</v>
      </c>
      <c r="J14" s="74">
        <f t="shared" si="1"/>
        <v>624</v>
      </c>
      <c r="K14" s="55">
        <f t="shared" si="2"/>
        <v>0.3</v>
      </c>
      <c r="L14" s="94">
        <v>9</v>
      </c>
      <c r="M14" s="96">
        <f t="shared" si="4"/>
        <v>360</v>
      </c>
      <c r="N14" s="58">
        <f t="shared" si="3"/>
        <v>4459</v>
      </c>
    </row>
    <row r="15" spans="1:14" x14ac:dyDescent="0.2">
      <c r="A15" s="55" t="s">
        <v>27</v>
      </c>
      <c r="B15" s="39" t="s">
        <v>28</v>
      </c>
      <c r="C15" s="59">
        <v>3</v>
      </c>
      <c r="D15" s="72">
        <f t="shared" si="0"/>
        <v>630</v>
      </c>
      <c r="E15" s="73">
        <f t="shared" si="1"/>
        <v>585</v>
      </c>
      <c r="F15" s="73">
        <f t="shared" si="1"/>
        <v>570</v>
      </c>
      <c r="G15" s="73">
        <f t="shared" si="1"/>
        <v>572.14285714285711</v>
      </c>
      <c r="H15" s="73">
        <f t="shared" si="1"/>
        <v>585</v>
      </c>
      <c r="I15" s="73">
        <f t="shared" si="1"/>
        <v>605</v>
      </c>
      <c r="J15" s="74">
        <f t="shared" si="1"/>
        <v>630</v>
      </c>
      <c r="K15" s="55">
        <f t="shared" si="2"/>
        <v>0.3</v>
      </c>
      <c r="L15" s="94">
        <v>14</v>
      </c>
      <c r="M15" s="96">
        <f t="shared" si="4"/>
        <v>560.00000000000023</v>
      </c>
      <c r="N15" s="58">
        <f t="shared" si="3"/>
        <v>6936.2222222222254</v>
      </c>
    </row>
    <row r="16" spans="1:14" x14ac:dyDescent="0.2">
      <c r="A16" s="55">
        <v>672</v>
      </c>
      <c r="B16" s="39" t="s">
        <v>31</v>
      </c>
      <c r="C16" s="59">
        <v>3.4</v>
      </c>
      <c r="D16" s="72">
        <f t="shared" si="0"/>
        <v>690</v>
      </c>
      <c r="E16" s="73">
        <f t="shared" si="1"/>
        <v>633</v>
      </c>
      <c r="F16" s="73">
        <f t="shared" si="1"/>
        <v>610</v>
      </c>
      <c r="G16" s="73">
        <f t="shared" si="1"/>
        <v>606.42857142857133</v>
      </c>
      <c r="H16" s="73">
        <f t="shared" si="1"/>
        <v>615</v>
      </c>
      <c r="I16" s="73">
        <f t="shared" si="1"/>
        <v>631.66666666666663</v>
      </c>
      <c r="J16" s="74">
        <f t="shared" si="1"/>
        <v>654</v>
      </c>
      <c r="K16" s="55">
        <f t="shared" si="2"/>
        <v>0.35</v>
      </c>
      <c r="L16" s="94">
        <v>3</v>
      </c>
      <c r="M16" s="96">
        <f t="shared" si="4"/>
        <v>77.14285714285711</v>
      </c>
      <c r="N16" s="58">
        <f t="shared" si="3"/>
        <v>955.49999999999966</v>
      </c>
    </row>
    <row r="17" spans="1:16" x14ac:dyDescent="0.2">
      <c r="A17" s="55">
        <v>1009</v>
      </c>
      <c r="B17" s="39" t="s">
        <v>26</v>
      </c>
      <c r="C17" s="78">
        <v>3.7</v>
      </c>
      <c r="D17" s="72">
        <f t="shared" si="0"/>
        <v>735</v>
      </c>
      <c r="E17" s="73">
        <f t="shared" si="1"/>
        <v>669</v>
      </c>
      <c r="F17" s="73">
        <f t="shared" si="1"/>
        <v>640</v>
      </c>
      <c r="G17" s="73">
        <f t="shared" si="1"/>
        <v>632.14285714285711</v>
      </c>
      <c r="H17" s="73">
        <f t="shared" si="1"/>
        <v>637.5</v>
      </c>
      <c r="I17" s="73">
        <f t="shared" si="1"/>
        <v>651.66666666666674</v>
      </c>
      <c r="J17" s="74">
        <f t="shared" si="1"/>
        <v>672</v>
      </c>
      <c r="K17" s="55">
        <f t="shared" si="2"/>
        <v>0.35</v>
      </c>
      <c r="L17" s="94">
        <v>15</v>
      </c>
      <c r="M17" s="96">
        <f t="shared" si="4"/>
        <v>385.71428571428578</v>
      </c>
      <c r="N17" s="58">
        <f t="shared" si="3"/>
        <v>4777.5000000000009</v>
      </c>
    </row>
    <row r="18" spans="1:16" x14ac:dyDescent="0.2">
      <c r="A18" s="55">
        <v>676</v>
      </c>
      <c r="B18" s="39" t="s">
        <v>35</v>
      </c>
      <c r="C18" s="59">
        <v>3.8</v>
      </c>
      <c r="D18" s="72">
        <f t="shared" si="0"/>
        <v>749.99999999999989</v>
      </c>
      <c r="E18" s="73">
        <f t="shared" si="1"/>
        <v>681</v>
      </c>
      <c r="F18" s="73">
        <f t="shared" si="1"/>
        <v>650</v>
      </c>
      <c r="G18" s="73">
        <f t="shared" si="1"/>
        <v>640.71428571428567</v>
      </c>
      <c r="H18" s="73">
        <f t="shared" si="1"/>
        <v>645</v>
      </c>
      <c r="I18" s="73">
        <f t="shared" si="1"/>
        <v>658.33333333333337</v>
      </c>
      <c r="J18" s="74">
        <f t="shared" si="1"/>
        <v>678</v>
      </c>
      <c r="K18" s="55">
        <f t="shared" si="2"/>
        <v>0.35</v>
      </c>
      <c r="L18" s="94">
        <v>13</v>
      </c>
      <c r="M18" s="96">
        <f t="shared" si="4"/>
        <v>334.28571428571445</v>
      </c>
      <c r="N18" s="58">
        <f t="shared" si="3"/>
        <v>4140.5000000000018</v>
      </c>
    </row>
    <row r="19" spans="1:16" x14ac:dyDescent="0.2">
      <c r="A19" s="55">
        <v>671</v>
      </c>
      <c r="B19" s="39" t="s">
        <v>30</v>
      </c>
      <c r="C19" s="59">
        <v>4</v>
      </c>
      <c r="D19" s="72">
        <f t="shared" si="0"/>
        <v>780</v>
      </c>
      <c r="E19" s="73">
        <f t="shared" si="1"/>
        <v>705</v>
      </c>
      <c r="F19" s="73">
        <f t="shared" si="1"/>
        <v>670</v>
      </c>
      <c r="G19" s="73">
        <f t="shared" si="1"/>
        <v>657.85714285714289</v>
      </c>
      <c r="H19" s="73">
        <f t="shared" si="1"/>
        <v>660</v>
      </c>
      <c r="I19" s="73">
        <f t="shared" si="1"/>
        <v>671.66666666666674</v>
      </c>
      <c r="J19" s="74">
        <f t="shared" si="1"/>
        <v>690</v>
      </c>
      <c r="K19" s="55">
        <f t="shared" si="2"/>
        <v>0.35</v>
      </c>
      <c r="L19" s="94">
        <v>12</v>
      </c>
      <c r="M19" s="96">
        <f t="shared" si="4"/>
        <v>308.57142857142844</v>
      </c>
      <c r="N19" s="58">
        <f t="shared" si="3"/>
        <v>3821.9999999999986</v>
      </c>
    </row>
    <row r="20" spans="1:16" x14ac:dyDescent="0.2">
      <c r="A20" s="55">
        <v>1030</v>
      </c>
      <c r="B20" s="39" t="s">
        <v>39</v>
      </c>
      <c r="C20" s="59">
        <v>4.3</v>
      </c>
      <c r="D20" s="72">
        <f t="shared" si="0"/>
        <v>824.99999999999989</v>
      </c>
      <c r="E20" s="73">
        <f t="shared" ref="E20:J27" si="5">($C20/E$9*$C$3)+(E$9/4)/$C$5*60*60*$C$4*2</f>
        <v>741</v>
      </c>
      <c r="F20" s="73">
        <f t="shared" si="5"/>
        <v>700</v>
      </c>
      <c r="G20" s="73">
        <f t="shared" si="5"/>
        <v>683.57142857142856</v>
      </c>
      <c r="H20" s="73">
        <f t="shared" si="5"/>
        <v>682.5</v>
      </c>
      <c r="I20" s="73">
        <f t="shared" si="5"/>
        <v>691.66666666666674</v>
      </c>
      <c r="J20" s="74">
        <f t="shared" si="5"/>
        <v>708</v>
      </c>
      <c r="K20" s="55">
        <f t="shared" si="2"/>
        <v>0.4</v>
      </c>
      <c r="L20" s="94">
        <v>18</v>
      </c>
      <c r="M20" s="96">
        <f t="shared" si="4"/>
        <v>270</v>
      </c>
      <c r="N20" s="58">
        <f t="shared" si="3"/>
        <v>3344.25</v>
      </c>
      <c r="P20" s="91" t="s">
        <v>91</v>
      </c>
    </row>
    <row r="21" spans="1:16" x14ac:dyDescent="0.2">
      <c r="A21" s="55">
        <v>1056</v>
      </c>
      <c r="B21" s="39" t="s">
        <v>41</v>
      </c>
      <c r="C21" s="59">
        <v>4.5</v>
      </c>
      <c r="D21" s="72">
        <f t="shared" si="0"/>
        <v>855</v>
      </c>
      <c r="E21" s="73">
        <f t="shared" si="5"/>
        <v>765</v>
      </c>
      <c r="F21" s="73">
        <f t="shared" si="5"/>
        <v>720</v>
      </c>
      <c r="G21" s="73">
        <f t="shared" si="5"/>
        <v>700.71428571428567</v>
      </c>
      <c r="H21" s="73">
        <f t="shared" si="5"/>
        <v>697.5</v>
      </c>
      <c r="I21" s="73">
        <f t="shared" si="5"/>
        <v>705</v>
      </c>
      <c r="J21" s="74">
        <f t="shared" si="5"/>
        <v>720</v>
      </c>
      <c r="K21" s="55">
        <f t="shared" si="2"/>
        <v>0.4</v>
      </c>
      <c r="L21" s="94">
        <v>12</v>
      </c>
      <c r="M21" s="96">
        <f t="shared" si="4"/>
        <v>180</v>
      </c>
      <c r="N21" s="58">
        <f t="shared" si="3"/>
        <v>2229.5</v>
      </c>
      <c r="P21" t="s">
        <v>43</v>
      </c>
    </row>
    <row r="22" spans="1:16" x14ac:dyDescent="0.2">
      <c r="A22" s="55">
        <v>1052</v>
      </c>
      <c r="B22" s="39" t="s">
        <v>42</v>
      </c>
      <c r="C22" s="59">
        <v>4.7</v>
      </c>
      <c r="D22" s="72">
        <f t="shared" si="0"/>
        <v>885</v>
      </c>
      <c r="E22" s="73">
        <f t="shared" si="5"/>
        <v>789</v>
      </c>
      <c r="F22" s="73">
        <f t="shared" si="5"/>
        <v>740</v>
      </c>
      <c r="G22" s="73">
        <f t="shared" si="5"/>
        <v>717.85714285714289</v>
      </c>
      <c r="H22" s="73">
        <f t="shared" si="5"/>
        <v>712.5</v>
      </c>
      <c r="I22" s="73">
        <f t="shared" si="5"/>
        <v>718.33333333333326</v>
      </c>
      <c r="J22" s="74">
        <f t="shared" si="5"/>
        <v>732</v>
      </c>
      <c r="K22" s="55">
        <f t="shared" si="2"/>
        <v>0.4</v>
      </c>
      <c r="L22" s="94">
        <v>14</v>
      </c>
      <c r="M22" s="96">
        <f t="shared" si="4"/>
        <v>210</v>
      </c>
      <c r="N22" s="58">
        <f t="shared" si="3"/>
        <v>2601.0833333333335</v>
      </c>
      <c r="P22" t="s">
        <v>49</v>
      </c>
    </row>
    <row r="23" spans="1:16" x14ac:dyDescent="0.2">
      <c r="A23" s="55">
        <v>673</v>
      </c>
      <c r="B23" s="39" t="s">
        <v>32</v>
      </c>
      <c r="C23" s="59">
        <v>4.8</v>
      </c>
      <c r="D23" s="72">
        <f t="shared" si="0"/>
        <v>899.99999999999989</v>
      </c>
      <c r="E23" s="73">
        <f t="shared" si="5"/>
        <v>801</v>
      </c>
      <c r="F23" s="73">
        <f t="shared" si="5"/>
        <v>750</v>
      </c>
      <c r="G23" s="73">
        <f t="shared" si="5"/>
        <v>726.42857142857133</v>
      </c>
      <c r="H23" s="73">
        <f t="shared" si="5"/>
        <v>720</v>
      </c>
      <c r="I23" s="73">
        <f t="shared" si="5"/>
        <v>725</v>
      </c>
      <c r="J23" s="74">
        <f t="shared" si="5"/>
        <v>738</v>
      </c>
      <c r="K23" s="55">
        <f t="shared" si="2"/>
        <v>0.4</v>
      </c>
      <c r="L23" s="94">
        <v>11</v>
      </c>
      <c r="M23" s="96">
        <f t="shared" si="4"/>
        <v>165</v>
      </c>
      <c r="N23" s="58">
        <f t="shared" si="3"/>
        <v>2043.7083333333333</v>
      </c>
      <c r="P23" t="s">
        <v>50</v>
      </c>
    </row>
    <row r="24" spans="1:16" x14ac:dyDescent="0.2">
      <c r="A24" s="55">
        <v>675</v>
      </c>
      <c r="B24" s="39" t="s">
        <v>34</v>
      </c>
      <c r="C24" s="59">
        <v>4.8</v>
      </c>
      <c r="D24" s="72">
        <f t="shared" si="0"/>
        <v>899.99999999999989</v>
      </c>
      <c r="E24" s="73">
        <f t="shared" si="5"/>
        <v>801</v>
      </c>
      <c r="F24" s="73">
        <f t="shared" si="5"/>
        <v>750</v>
      </c>
      <c r="G24" s="73">
        <f t="shared" si="5"/>
        <v>726.42857142857133</v>
      </c>
      <c r="H24" s="73">
        <f t="shared" si="5"/>
        <v>720</v>
      </c>
      <c r="I24" s="73">
        <f t="shared" si="5"/>
        <v>725</v>
      </c>
      <c r="J24" s="74">
        <f t="shared" si="5"/>
        <v>738</v>
      </c>
      <c r="K24" s="55">
        <f t="shared" si="2"/>
        <v>0.4</v>
      </c>
      <c r="L24" s="94">
        <v>13</v>
      </c>
      <c r="M24" s="96">
        <f t="shared" si="4"/>
        <v>195</v>
      </c>
      <c r="N24" s="58">
        <f t="shared" si="3"/>
        <v>2415.2916666666665</v>
      </c>
      <c r="P24" t="s">
        <v>51</v>
      </c>
    </row>
    <row r="25" spans="1:16" x14ac:dyDescent="0.2">
      <c r="A25" s="55">
        <v>1033</v>
      </c>
      <c r="B25" s="39" t="s">
        <v>25</v>
      </c>
      <c r="C25" s="80">
        <v>4.5999999999999996</v>
      </c>
      <c r="D25" s="72">
        <f t="shared" si="0"/>
        <v>869.99999999999989</v>
      </c>
      <c r="E25" s="73">
        <f t="shared" si="5"/>
        <v>777</v>
      </c>
      <c r="F25" s="73">
        <f t="shared" si="5"/>
        <v>729.99999999999989</v>
      </c>
      <c r="G25" s="73">
        <f t="shared" si="5"/>
        <v>709.28571428571422</v>
      </c>
      <c r="H25" s="73">
        <f t="shared" si="5"/>
        <v>705</v>
      </c>
      <c r="I25" s="73">
        <f t="shared" si="5"/>
        <v>711.66666666666663</v>
      </c>
      <c r="J25" s="74">
        <f t="shared" si="5"/>
        <v>726</v>
      </c>
      <c r="K25" s="55">
        <f t="shared" si="2"/>
        <v>0.4</v>
      </c>
      <c r="L25" s="94">
        <v>16</v>
      </c>
      <c r="M25" s="96">
        <f t="shared" si="4"/>
        <v>240</v>
      </c>
      <c r="N25" s="58">
        <f t="shared" si="3"/>
        <v>2972.6666666666665</v>
      </c>
      <c r="P25" t="s">
        <v>46</v>
      </c>
    </row>
    <row r="26" spans="1:16" x14ac:dyDescent="0.2">
      <c r="A26" s="55" t="s">
        <v>40</v>
      </c>
      <c r="B26" s="39" t="s">
        <v>85</v>
      </c>
      <c r="C26" s="59">
        <v>5.4</v>
      </c>
      <c r="D26" s="72">
        <f t="shared" si="0"/>
        <v>990</v>
      </c>
      <c r="E26" s="73">
        <f t="shared" si="5"/>
        <v>873</v>
      </c>
      <c r="F26" s="73">
        <f t="shared" si="5"/>
        <v>810</v>
      </c>
      <c r="G26" s="73">
        <f t="shared" si="5"/>
        <v>777.85714285714289</v>
      </c>
      <c r="H26" s="73">
        <f t="shared" si="5"/>
        <v>765</v>
      </c>
      <c r="I26" s="73">
        <f t="shared" si="5"/>
        <v>765</v>
      </c>
      <c r="J26" s="74">
        <f t="shared" si="5"/>
        <v>774</v>
      </c>
      <c r="K26" s="55">
        <f t="shared" si="2"/>
        <v>0.4</v>
      </c>
      <c r="L26" s="94">
        <v>13</v>
      </c>
      <c r="M26" s="96">
        <f t="shared" si="4"/>
        <v>195</v>
      </c>
      <c r="N26" s="58">
        <f t="shared" si="3"/>
        <v>2415.2916666666665</v>
      </c>
      <c r="P26" s="29" t="s">
        <v>18</v>
      </c>
    </row>
    <row r="27" spans="1:16" x14ac:dyDescent="0.2">
      <c r="A27" s="55">
        <v>1027</v>
      </c>
      <c r="B27" s="39" t="s">
        <v>38</v>
      </c>
      <c r="C27" s="59">
        <v>5.9</v>
      </c>
      <c r="D27" s="69">
        <f t="shared" si="0"/>
        <v>1065</v>
      </c>
      <c r="E27" s="70">
        <f t="shared" si="5"/>
        <v>933</v>
      </c>
      <c r="F27" s="70">
        <f t="shared" si="5"/>
        <v>860</v>
      </c>
      <c r="G27" s="70">
        <f t="shared" si="5"/>
        <v>820.71428571428567</v>
      </c>
      <c r="H27" s="70">
        <f t="shared" si="5"/>
        <v>802.5</v>
      </c>
      <c r="I27" s="70">
        <f t="shared" si="5"/>
        <v>798.33333333333326</v>
      </c>
      <c r="J27" s="71">
        <f t="shared" si="5"/>
        <v>804</v>
      </c>
      <c r="K27" s="55">
        <f t="shared" si="2"/>
        <v>0.45</v>
      </c>
      <c r="L27" s="94">
        <v>15</v>
      </c>
      <c r="M27" s="96">
        <f t="shared" si="4"/>
        <v>100.00000000000011</v>
      </c>
      <c r="N27" s="58">
        <f t="shared" si="3"/>
        <v>1238.6111111111125</v>
      </c>
      <c r="P27" s="1"/>
    </row>
    <row r="28" spans="1:16" x14ac:dyDescent="0.2">
      <c r="A28" s="60"/>
      <c r="B28" s="61" t="s">
        <v>44</v>
      </c>
      <c r="C28" s="62"/>
      <c r="D28" s="62">
        <f t="shared" ref="D28:J28" si="6">COUNTIFS($K$10:$K$27,D9)</f>
        <v>1</v>
      </c>
      <c r="E28" s="62">
        <f t="shared" si="6"/>
        <v>1</v>
      </c>
      <c r="F28" s="62">
        <f t="shared" si="6"/>
        <v>4</v>
      </c>
      <c r="G28" s="62">
        <f t="shared" si="6"/>
        <v>4</v>
      </c>
      <c r="H28" s="62">
        <f t="shared" si="6"/>
        <v>7</v>
      </c>
      <c r="I28" s="62">
        <f t="shared" si="6"/>
        <v>1</v>
      </c>
      <c r="J28" s="62">
        <f t="shared" si="6"/>
        <v>0</v>
      </c>
      <c r="K28" s="60"/>
      <c r="L28" s="63"/>
      <c r="M28" s="99"/>
      <c r="N28" s="64">
        <f>SUM(N10:N27)</f>
        <v>59957.625000000007</v>
      </c>
    </row>
    <row r="29" spans="1:16" x14ac:dyDescent="0.2">
      <c r="A29" s="30"/>
      <c r="B29" s="33"/>
      <c r="C29" s="31"/>
      <c r="D29" s="32"/>
      <c r="E29" s="32"/>
      <c r="F29" s="32"/>
      <c r="G29" s="32"/>
      <c r="H29" s="32"/>
      <c r="I29" s="32"/>
      <c r="J29" s="32"/>
      <c r="K29" s="30"/>
      <c r="M29" s="29"/>
    </row>
    <row r="30" spans="1:16" x14ac:dyDescent="0.2">
      <c r="A30" s="30"/>
      <c r="B30" s="82" t="s">
        <v>92</v>
      </c>
      <c r="C30" s="31"/>
      <c r="D30" s="32"/>
      <c r="E30" s="32"/>
      <c r="F30" s="32"/>
      <c r="G30" s="32"/>
      <c r="H30" s="32"/>
      <c r="I30" s="32"/>
      <c r="J30" s="32"/>
      <c r="K30" s="30"/>
      <c r="L30" s="28"/>
    </row>
    <row r="31" spans="1:16" x14ac:dyDescent="0.2">
      <c r="A31" s="30"/>
      <c r="B31" s="88" t="s">
        <v>89</v>
      </c>
      <c r="C31" s="31"/>
      <c r="D31" s="32"/>
      <c r="E31" s="32"/>
      <c r="F31" s="32"/>
      <c r="G31" s="32"/>
      <c r="H31" s="32"/>
      <c r="I31" s="32"/>
      <c r="J31" s="32"/>
      <c r="K31" s="30"/>
    </row>
    <row r="32" spans="1:16" x14ac:dyDescent="0.2">
      <c r="A32" s="30"/>
      <c r="B32" s="33"/>
      <c r="C32" s="31"/>
      <c r="D32" s="32"/>
      <c r="E32" s="32"/>
      <c r="F32" s="32"/>
      <c r="G32" s="32"/>
      <c r="H32" s="32"/>
      <c r="I32" s="32"/>
      <c r="J32" s="32"/>
      <c r="K32" s="30"/>
    </row>
    <row r="33" spans="1:11" x14ac:dyDescent="0.2">
      <c r="A33" s="20"/>
      <c r="B33" s="2"/>
      <c r="C33" s="23"/>
      <c r="D33" s="24"/>
      <c r="E33" s="24"/>
      <c r="F33" s="24"/>
      <c r="G33" s="24"/>
      <c r="H33" s="24"/>
      <c r="I33" s="24"/>
      <c r="J33" s="24"/>
      <c r="K33" s="21" t="s">
        <v>47</v>
      </c>
    </row>
    <row r="34" spans="1:11" x14ac:dyDescent="0.2">
      <c r="A34" s="20"/>
      <c r="B34" s="2"/>
      <c r="C34" s="23"/>
      <c r="D34" s="25">
        <v>0.2</v>
      </c>
      <c r="E34" s="26">
        <v>0.25</v>
      </c>
      <c r="F34" s="26">
        <v>0.3</v>
      </c>
      <c r="G34" s="26">
        <v>0.35</v>
      </c>
      <c r="H34" s="26">
        <v>0.4</v>
      </c>
      <c r="I34" s="26">
        <v>0.45</v>
      </c>
      <c r="J34" s="27">
        <v>0.5</v>
      </c>
      <c r="K34" s="21" t="s">
        <v>48</v>
      </c>
    </row>
    <row r="35" spans="1:11" x14ac:dyDescent="0.2">
      <c r="A35" s="20"/>
      <c r="B35" s="2"/>
      <c r="C35" s="23">
        <v>2</v>
      </c>
      <c r="D35" s="24">
        <f>IFERROR(($C35/D$9*$C$3)+(D$9/4)/$C$5*60*60*$C$4*2, 0)</f>
        <v>480</v>
      </c>
      <c r="E35" s="24">
        <f t="shared" ref="E35:J35" si="7">($C35/E$9*$C$3)+(E$9/4)/$C$5*60*60*$C$4*2</f>
        <v>465</v>
      </c>
      <c r="F35" s="24">
        <f t="shared" si="7"/>
        <v>469.99999999999994</v>
      </c>
      <c r="G35" s="24">
        <f t="shared" si="7"/>
        <v>486.42857142857139</v>
      </c>
      <c r="H35" s="24">
        <f t="shared" si="7"/>
        <v>510</v>
      </c>
      <c r="I35" s="24">
        <f t="shared" si="7"/>
        <v>538.33333333333337</v>
      </c>
      <c r="J35" s="24">
        <f t="shared" si="7"/>
        <v>570</v>
      </c>
      <c r="K35" s="20">
        <f>INDEX($D$9:$J$9, 1, MATCH(MIN(D35:J35), D35:J35, 0))</f>
        <v>0.25</v>
      </c>
    </row>
    <row r="36" spans="1:11" x14ac:dyDescent="0.2">
      <c r="A36" s="20"/>
      <c r="B36" s="2"/>
      <c r="C36" s="23" t="str">
        <f>CONCATENATE("Min", C35)</f>
        <v>Min2</v>
      </c>
      <c r="D36" s="24" t="e">
        <f>IF(D35=MIN($D35:$J35), D35, NA())</f>
        <v>#N/A</v>
      </c>
      <c r="E36" s="24">
        <f t="shared" ref="E36:J36" si="8">IF(E35=MIN($D35:$J35), E35, NA())</f>
        <v>465</v>
      </c>
      <c r="F36" s="24" t="e">
        <f t="shared" si="8"/>
        <v>#N/A</v>
      </c>
      <c r="G36" s="24" t="e">
        <f t="shared" si="8"/>
        <v>#N/A</v>
      </c>
      <c r="H36" s="24" t="e">
        <f t="shared" si="8"/>
        <v>#N/A</v>
      </c>
      <c r="I36" s="24" t="e">
        <f t="shared" si="8"/>
        <v>#N/A</v>
      </c>
      <c r="J36" s="24" t="e">
        <f t="shared" si="8"/>
        <v>#N/A</v>
      </c>
      <c r="K36" s="20"/>
    </row>
    <row r="37" spans="1:11" x14ac:dyDescent="0.2">
      <c r="A37" s="20"/>
      <c r="B37" s="2"/>
      <c r="C37" s="23">
        <v>3</v>
      </c>
      <c r="D37" s="24">
        <f>IFERROR(($C37/D$9*$C$3)+(D$9/4)/$C$5*60*60*$C$4*2, 0)</f>
        <v>630</v>
      </c>
      <c r="E37" s="24">
        <f t="shared" ref="E37:J37" si="9">($C37/E$9*$C$3)+(E$9/4)/$C$5*60*60*$C$4*2</f>
        <v>585</v>
      </c>
      <c r="F37" s="24">
        <f t="shared" si="9"/>
        <v>570</v>
      </c>
      <c r="G37" s="24">
        <f t="shared" si="9"/>
        <v>572.14285714285711</v>
      </c>
      <c r="H37" s="24">
        <f t="shared" si="9"/>
        <v>585</v>
      </c>
      <c r="I37" s="24">
        <f t="shared" si="9"/>
        <v>605</v>
      </c>
      <c r="J37" s="24">
        <f t="shared" si="9"/>
        <v>630</v>
      </c>
      <c r="K37" s="20">
        <f t="shared" ref="K37:K61" si="10">INDEX($D$9:$J$9, 1, MATCH(MIN(D37:J37), D37:J37, 0))</f>
        <v>0.3</v>
      </c>
    </row>
    <row r="38" spans="1:11" x14ac:dyDescent="0.2">
      <c r="A38" s="20"/>
      <c r="B38" s="2"/>
      <c r="C38" s="23" t="str">
        <f>CONCATENATE("Min", C37)</f>
        <v>Min3</v>
      </c>
      <c r="D38" s="24" t="e">
        <f>IF(D37=MIN($D37:$J37), D37, NA())</f>
        <v>#N/A</v>
      </c>
      <c r="E38" s="24" t="e">
        <f t="shared" ref="E38:J38" si="11">IF(E37=MIN($D37:$J37), E37, NA())</f>
        <v>#N/A</v>
      </c>
      <c r="F38" s="24">
        <f t="shared" si="11"/>
        <v>570</v>
      </c>
      <c r="G38" s="24" t="e">
        <f t="shared" si="11"/>
        <v>#N/A</v>
      </c>
      <c r="H38" s="24" t="e">
        <f t="shared" si="11"/>
        <v>#N/A</v>
      </c>
      <c r="I38" s="24" t="e">
        <f t="shared" si="11"/>
        <v>#N/A</v>
      </c>
      <c r="J38" s="24" t="e">
        <f t="shared" si="11"/>
        <v>#N/A</v>
      </c>
      <c r="K38" s="20" t="e">
        <f t="shared" si="10"/>
        <v>#N/A</v>
      </c>
    </row>
    <row r="39" spans="1:11" x14ac:dyDescent="0.2">
      <c r="A39" s="20"/>
      <c r="B39" s="2"/>
      <c r="C39" s="23">
        <v>4</v>
      </c>
      <c r="D39" s="24">
        <f>IFERROR(($C39/D$9*$C$3)+(D$9/4)/$C$5*60*60*$C$4*2, 0)</f>
        <v>780</v>
      </c>
      <c r="E39" s="24">
        <f t="shared" ref="E39:J39" si="12">($C39/E$9*$C$3)+(E$9/4)/$C$5*60*60*$C$4*2</f>
        <v>705</v>
      </c>
      <c r="F39" s="24">
        <f t="shared" si="12"/>
        <v>670</v>
      </c>
      <c r="G39" s="24">
        <f t="shared" si="12"/>
        <v>657.85714285714289</v>
      </c>
      <c r="H39" s="24">
        <f t="shared" si="12"/>
        <v>660</v>
      </c>
      <c r="I39" s="24">
        <f t="shared" si="12"/>
        <v>671.66666666666674</v>
      </c>
      <c r="J39" s="24">
        <f t="shared" si="12"/>
        <v>690</v>
      </c>
      <c r="K39" s="20">
        <f t="shared" si="10"/>
        <v>0.35</v>
      </c>
    </row>
    <row r="40" spans="1:11" x14ac:dyDescent="0.2">
      <c r="A40" s="20"/>
      <c r="B40" s="2"/>
      <c r="C40" s="23" t="str">
        <f>CONCATENATE("Min", C39)</f>
        <v>Min4</v>
      </c>
      <c r="D40" s="24" t="e">
        <f>IF(D39=MIN($D39:$J39), D39, NA())</f>
        <v>#N/A</v>
      </c>
      <c r="E40" s="24" t="e">
        <f t="shared" ref="E40:J40" si="13">IF(E39=MIN($D39:$J39), E39, NA())</f>
        <v>#N/A</v>
      </c>
      <c r="F40" s="24" t="e">
        <f t="shared" si="13"/>
        <v>#N/A</v>
      </c>
      <c r="G40" s="24">
        <f t="shared" si="13"/>
        <v>657.85714285714289</v>
      </c>
      <c r="H40" s="24" t="e">
        <f t="shared" si="13"/>
        <v>#N/A</v>
      </c>
      <c r="I40" s="24" t="e">
        <f t="shared" si="13"/>
        <v>#N/A</v>
      </c>
      <c r="J40" s="24" t="e">
        <f t="shared" si="13"/>
        <v>#N/A</v>
      </c>
      <c r="K40" s="20" t="e">
        <f t="shared" si="10"/>
        <v>#N/A</v>
      </c>
    </row>
    <row r="41" spans="1:11" x14ac:dyDescent="0.2">
      <c r="A41" s="20"/>
      <c r="B41" s="2"/>
      <c r="C41" s="23">
        <v>5</v>
      </c>
      <c r="D41" s="24">
        <f>IFERROR(($C41/D$9*$C$3)+(D$9/4)/$C$5*60*60*$C$4*2, 0)</f>
        <v>930</v>
      </c>
      <c r="E41" s="24">
        <f t="shared" ref="E41:J41" si="14">($C41/E$9*$C$3)+(E$9/4)/$C$5*60*60*$C$4*2</f>
        <v>825</v>
      </c>
      <c r="F41" s="24">
        <f t="shared" si="14"/>
        <v>770</v>
      </c>
      <c r="G41" s="24">
        <f t="shared" si="14"/>
        <v>743.57142857142856</v>
      </c>
      <c r="H41" s="24">
        <f t="shared" si="14"/>
        <v>735</v>
      </c>
      <c r="I41" s="24">
        <f t="shared" si="14"/>
        <v>738.33333333333326</v>
      </c>
      <c r="J41" s="24">
        <f t="shared" si="14"/>
        <v>750</v>
      </c>
      <c r="K41" s="20">
        <f t="shared" si="10"/>
        <v>0.4</v>
      </c>
    </row>
    <row r="42" spans="1:11" x14ac:dyDescent="0.2">
      <c r="A42" s="20"/>
      <c r="B42" s="2"/>
      <c r="C42" s="23" t="str">
        <f>CONCATENATE("Min", C41)</f>
        <v>Min5</v>
      </c>
      <c r="D42" s="24" t="e">
        <f>IF(D41=MIN($D41:$J41), D41, NA())</f>
        <v>#N/A</v>
      </c>
      <c r="E42" s="24" t="e">
        <f t="shared" ref="E42:J42" si="15">IF(E41=MIN($D41:$J41), E41, NA())</f>
        <v>#N/A</v>
      </c>
      <c r="F42" s="24" t="e">
        <f t="shared" si="15"/>
        <v>#N/A</v>
      </c>
      <c r="G42" s="24" t="e">
        <f t="shared" si="15"/>
        <v>#N/A</v>
      </c>
      <c r="H42" s="24">
        <f t="shared" si="15"/>
        <v>735</v>
      </c>
      <c r="I42" s="24" t="e">
        <f t="shared" si="15"/>
        <v>#N/A</v>
      </c>
      <c r="J42" s="24" t="e">
        <f t="shared" si="15"/>
        <v>#N/A</v>
      </c>
      <c r="K42" s="20" t="e">
        <f t="shared" si="10"/>
        <v>#N/A</v>
      </c>
    </row>
    <row r="43" spans="1:11" x14ac:dyDescent="0.2">
      <c r="A43" s="20"/>
      <c r="B43" s="2"/>
      <c r="C43" s="23">
        <v>5</v>
      </c>
      <c r="D43" s="24">
        <f>IFERROR(($C43/D$9*$C$3)+(D$9/4)/$C$5*60*60*$C$4*2, 0)</f>
        <v>930</v>
      </c>
      <c r="E43" s="24">
        <f t="shared" ref="E43:J43" si="16">($C43/E$9*$C$3)+(E$9/4)/$C$5*60*60*$C$4*2</f>
        <v>825</v>
      </c>
      <c r="F43" s="24">
        <f t="shared" si="16"/>
        <v>770</v>
      </c>
      <c r="G43" s="24">
        <f t="shared" si="16"/>
        <v>743.57142857142856</v>
      </c>
      <c r="H43" s="24">
        <f t="shared" si="16"/>
        <v>735</v>
      </c>
      <c r="I43" s="24">
        <f t="shared" si="16"/>
        <v>738.33333333333326</v>
      </c>
      <c r="J43" s="24">
        <f t="shared" si="16"/>
        <v>750</v>
      </c>
      <c r="K43" s="20">
        <f t="shared" si="10"/>
        <v>0.4</v>
      </c>
    </row>
    <row r="44" spans="1:11" x14ac:dyDescent="0.2">
      <c r="A44" s="20"/>
      <c r="B44" s="2"/>
      <c r="C44" s="23" t="str">
        <f>CONCATENATE("Min", C43)</f>
        <v>Min5</v>
      </c>
      <c r="D44" s="24" t="e">
        <f>IF(D43=MIN($D43:$J43), D43, NA())</f>
        <v>#N/A</v>
      </c>
      <c r="E44" s="24" t="e">
        <f t="shared" ref="E44:J44" si="17">IF(E43=MIN($D43:$J43), E43, NA())</f>
        <v>#N/A</v>
      </c>
      <c r="F44" s="24" t="e">
        <f t="shared" si="17"/>
        <v>#N/A</v>
      </c>
      <c r="G44" s="24" t="e">
        <f t="shared" si="17"/>
        <v>#N/A</v>
      </c>
      <c r="H44" s="24">
        <f t="shared" si="17"/>
        <v>735</v>
      </c>
      <c r="I44" s="24" t="e">
        <f t="shared" si="17"/>
        <v>#N/A</v>
      </c>
      <c r="J44" s="24" t="e">
        <f t="shared" si="17"/>
        <v>#N/A</v>
      </c>
      <c r="K44" s="20" t="e">
        <f t="shared" si="10"/>
        <v>#N/A</v>
      </c>
    </row>
    <row r="45" spans="1:11" x14ac:dyDescent="0.2">
      <c r="A45" s="20"/>
      <c r="B45" s="2"/>
      <c r="C45" s="23">
        <v>6</v>
      </c>
      <c r="D45" s="24">
        <f>IFERROR(($C45/D$9*$C$3)+(D$9/4)/$C$5*60*60*$C$4*2, 0)</f>
        <v>1080</v>
      </c>
      <c r="E45" s="24">
        <f t="shared" ref="E45:J45" si="18">($C45/E$9*$C$3)+(E$9/4)/$C$5*60*60*$C$4*2</f>
        <v>945</v>
      </c>
      <c r="F45" s="24">
        <f t="shared" si="18"/>
        <v>870</v>
      </c>
      <c r="G45" s="24">
        <f t="shared" si="18"/>
        <v>829.28571428571422</v>
      </c>
      <c r="H45" s="24">
        <f t="shared" si="18"/>
        <v>810</v>
      </c>
      <c r="I45" s="24">
        <f t="shared" si="18"/>
        <v>805</v>
      </c>
      <c r="J45" s="24">
        <f t="shared" si="18"/>
        <v>810</v>
      </c>
      <c r="K45" s="20">
        <f t="shared" si="10"/>
        <v>0.45</v>
      </c>
    </row>
    <row r="46" spans="1:11" x14ac:dyDescent="0.2">
      <c r="A46" s="20"/>
      <c r="B46" s="2"/>
      <c r="C46" s="23" t="str">
        <f>CONCATENATE("Min", C45)</f>
        <v>Min6</v>
      </c>
      <c r="D46" s="24" t="e">
        <f>IF(D45=MIN($D45:$J45), D45, NA())</f>
        <v>#N/A</v>
      </c>
      <c r="E46" s="24" t="e">
        <f t="shared" ref="E46:J46" si="19">IF(E45=MIN($D45:$J45), E45, NA())</f>
        <v>#N/A</v>
      </c>
      <c r="F46" s="24" t="e">
        <f t="shared" si="19"/>
        <v>#N/A</v>
      </c>
      <c r="G46" s="24" t="e">
        <f t="shared" si="19"/>
        <v>#N/A</v>
      </c>
      <c r="H46" s="24" t="e">
        <f t="shared" si="19"/>
        <v>#N/A</v>
      </c>
      <c r="I46" s="24">
        <f t="shared" si="19"/>
        <v>805</v>
      </c>
      <c r="J46" s="24" t="e">
        <f t="shared" si="19"/>
        <v>#N/A</v>
      </c>
      <c r="K46" s="20" t="e">
        <f t="shared" si="10"/>
        <v>#N/A</v>
      </c>
    </row>
    <row r="47" spans="1:11" x14ac:dyDescent="0.2">
      <c r="A47" s="20"/>
      <c r="B47" s="2"/>
      <c r="C47" s="23">
        <v>7</v>
      </c>
      <c r="D47" s="24">
        <f>IFERROR(($C47/D$9*$C$3)+(D$9/4)/$C$5*60*60*$C$4*2, 0)</f>
        <v>1230</v>
      </c>
      <c r="E47" s="24">
        <f t="shared" ref="E47:J47" si="20">($C47/E$9*$C$3)+(E$9/4)/$C$5*60*60*$C$4*2</f>
        <v>1065</v>
      </c>
      <c r="F47" s="24">
        <f t="shared" si="20"/>
        <v>970</v>
      </c>
      <c r="G47" s="24">
        <f t="shared" si="20"/>
        <v>915</v>
      </c>
      <c r="H47" s="24">
        <f t="shared" si="20"/>
        <v>885</v>
      </c>
      <c r="I47" s="24">
        <f t="shared" si="20"/>
        <v>871.66666666666674</v>
      </c>
      <c r="J47" s="24">
        <f t="shared" si="20"/>
        <v>870</v>
      </c>
      <c r="K47" s="20">
        <f t="shared" si="10"/>
        <v>0.5</v>
      </c>
    </row>
    <row r="48" spans="1:11" x14ac:dyDescent="0.2">
      <c r="A48" s="20"/>
      <c r="B48" s="2"/>
      <c r="C48" s="23" t="str">
        <f>CONCATENATE("Min", C47)</f>
        <v>Min7</v>
      </c>
      <c r="D48" s="24" t="e">
        <f>IF(D47=MIN($D47:$J47), D47, NA())</f>
        <v>#N/A</v>
      </c>
      <c r="E48" s="24" t="e">
        <f t="shared" ref="E48:J48" si="21">IF(E47=MIN($D47:$J47), E47, NA())</f>
        <v>#N/A</v>
      </c>
      <c r="F48" s="24" t="e">
        <f t="shared" si="21"/>
        <v>#N/A</v>
      </c>
      <c r="G48" s="24" t="e">
        <f t="shared" si="21"/>
        <v>#N/A</v>
      </c>
      <c r="H48" s="24" t="e">
        <f t="shared" si="21"/>
        <v>#N/A</v>
      </c>
      <c r="I48" s="24" t="e">
        <f t="shared" si="21"/>
        <v>#N/A</v>
      </c>
      <c r="J48" s="24">
        <f t="shared" si="21"/>
        <v>870</v>
      </c>
      <c r="K48" s="20" t="e">
        <f t="shared" si="10"/>
        <v>#N/A</v>
      </c>
    </row>
    <row r="49" spans="1:11" x14ac:dyDescent="0.2">
      <c r="A49" s="20"/>
      <c r="B49" s="2"/>
      <c r="C49" s="23"/>
      <c r="D49" s="24">
        <f t="shared" ref="D49:D61" si="22">IFERROR(($C49/D$9*$C$3)+(D$9/4)/$C$5*60*60*$C$4*2, 0)</f>
        <v>180</v>
      </c>
      <c r="E49" s="24">
        <f t="shared" ref="E49:J61" si="23">($C49/E$9*$C$3)+(E$9/4)/$C$5*60*60*$C$4*2</f>
        <v>225</v>
      </c>
      <c r="F49" s="24">
        <f t="shared" si="23"/>
        <v>269.99999999999994</v>
      </c>
      <c r="G49" s="24">
        <f t="shared" si="23"/>
        <v>314.99999999999994</v>
      </c>
      <c r="H49" s="24">
        <f t="shared" si="23"/>
        <v>360</v>
      </c>
      <c r="I49" s="24">
        <f t="shared" si="23"/>
        <v>405</v>
      </c>
      <c r="J49" s="24">
        <f t="shared" si="23"/>
        <v>450</v>
      </c>
      <c r="K49" s="20">
        <f t="shared" si="10"/>
        <v>0.2</v>
      </c>
    </row>
    <row r="50" spans="1:11" x14ac:dyDescent="0.2">
      <c r="A50" s="20"/>
      <c r="B50" s="2"/>
      <c r="C50" s="23"/>
      <c r="D50" s="24">
        <f t="shared" si="22"/>
        <v>180</v>
      </c>
      <c r="E50" s="24">
        <f t="shared" si="23"/>
        <v>225</v>
      </c>
      <c r="F50" s="24">
        <f t="shared" si="23"/>
        <v>269.99999999999994</v>
      </c>
      <c r="G50" s="24">
        <f t="shared" si="23"/>
        <v>314.99999999999994</v>
      </c>
      <c r="H50" s="24">
        <f t="shared" si="23"/>
        <v>360</v>
      </c>
      <c r="I50" s="24">
        <f t="shared" si="23"/>
        <v>405</v>
      </c>
      <c r="J50" s="24">
        <f t="shared" si="23"/>
        <v>450</v>
      </c>
      <c r="K50" s="20">
        <f t="shared" si="10"/>
        <v>0.2</v>
      </c>
    </row>
    <row r="51" spans="1:11" x14ac:dyDescent="0.2">
      <c r="A51" s="20"/>
      <c r="B51" s="2"/>
      <c r="C51" s="23"/>
      <c r="D51" s="24">
        <f t="shared" si="22"/>
        <v>180</v>
      </c>
      <c r="E51" s="24">
        <f t="shared" si="23"/>
        <v>225</v>
      </c>
      <c r="F51" s="24">
        <f t="shared" si="23"/>
        <v>269.99999999999994</v>
      </c>
      <c r="G51" s="24">
        <f t="shared" si="23"/>
        <v>314.99999999999994</v>
      </c>
      <c r="H51" s="24">
        <f t="shared" si="23"/>
        <v>360</v>
      </c>
      <c r="I51" s="24">
        <f t="shared" si="23"/>
        <v>405</v>
      </c>
      <c r="J51" s="24">
        <f t="shared" si="23"/>
        <v>450</v>
      </c>
      <c r="K51" s="20">
        <f t="shared" si="10"/>
        <v>0.2</v>
      </c>
    </row>
    <row r="52" spans="1:11" x14ac:dyDescent="0.2">
      <c r="A52" s="20"/>
      <c r="B52" s="2"/>
      <c r="C52" s="23"/>
      <c r="D52" s="24">
        <f t="shared" si="22"/>
        <v>180</v>
      </c>
      <c r="E52" s="24">
        <f t="shared" si="23"/>
        <v>225</v>
      </c>
      <c r="F52" s="24">
        <f t="shared" si="23"/>
        <v>269.99999999999994</v>
      </c>
      <c r="G52" s="24">
        <f t="shared" si="23"/>
        <v>314.99999999999994</v>
      </c>
      <c r="H52" s="24">
        <f t="shared" si="23"/>
        <v>360</v>
      </c>
      <c r="I52" s="24">
        <f t="shared" si="23"/>
        <v>405</v>
      </c>
      <c r="J52" s="24">
        <f t="shared" si="23"/>
        <v>450</v>
      </c>
      <c r="K52" s="20">
        <f t="shared" si="10"/>
        <v>0.2</v>
      </c>
    </row>
    <row r="53" spans="1:11" x14ac:dyDescent="0.2">
      <c r="A53" s="20"/>
      <c r="B53" s="2"/>
      <c r="C53" s="23"/>
      <c r="D53" s="24">
        <f t="shared" si="22"/>
        <v>180</v>
      </c>
      <c r="E53" s="24">
        <f t="shared" si="23"/>
        <v>225</v>
      </c>
      <c r="F53" s="24">
        <f t="shared" si="23"/>
        <v>269.99999999999994</v>
      </c>
      <c r="G53" s="24">
        <f t="shared" si="23"/>
        <v>314.99999999999994</v>
      </c>
      <c r="H53" s="24">
        <f t="shared" si="23"/>
        <v>360</v>
      </c>
      <c r="I53" s="24">
        <f t="shared" si="23"/>
        <v>405</v>
      </c>
      <c r="J53" s="24">
        <f t="shared" si="23"/>
        <v>450</v>
      </c>
      <c r="K53" s="20">
        <f t="shared" si="10"/>
        <v>0.2</v>
      </c>
    </row>
    <row r="54" spans="1:11" x14ac:dyDescent="0.2">
      <c r="A54" s="20"/>
      <c r="B54" s="2"/>
      <c r="C54" s="23"/>
      <c r="D54" s="24">
        <f t="shared" si="22"/>
        <v>180</v>
      </c>
      <c r="E54" s="24">
        <f t="shared" si="23"/>
        <v>225</v>
      </c>
      <c r="F54" s="24">
        <f t="shared" si="23"/>
        <v>269.99999999999994</v>
      </c>
      <c r="G54" s="24">
        <f t="shared" si="23"/>
        <v>314.99999999999994</v>
      </c>
      <c r="H54" s="24">
        <f t="shared" si="23"/>
        <v>360</v>
      </c>
      <c r="I54" s="24">
        <f t="shared" si="23"/>
        <v>405</v>
      </c>
      <c r="J54" s="24">
        <f t="shared" si="23"/>
        <v>450</v>
      </c>
      <c r="K54" s="20">
        <f t="shared" si="10"/>
        <v>0.2</v>
      </c>
    </row>
    <row r="55" spans="1:11" x14ac:dyDescent="0.2">
      <c r="A55" s="20"/>
      <c r="B55" s="2"/>
      <c r="C55" s="23"/>
      <c r="D55" s="24">
        <f t="shared" si="22"/>
        <v>180</v>
      </c>
      <c r="E55" s="24">
        <f t="shared" si="23"/>
        <v>225</v>
      </c>
      <c r="F55" s="24">
        <f t="shared" si="23"/>
        <v>269.99999999999994</v>
      </c>
      <c r="G55" s="24">
        <f t="shared" si="23"/>
        <v>314.99999999999994</v>
      </c>
      <c r="H55" s="24">
        <f t="shared" si="23"/>
        <v>360</v>
      </c>
      <c r="I55" s="24">
        <f t="shared" si="23"/>
        <v>405</v>
      </c>
      <c r="J55" s="24">
        <f t="shared" si="23"/>
        <v>450</v>
      </c>
      <c r="K55" s="20">
        <f t="shared" si="10"/>
        <v>0.2</v>
      </c>
    </row>
    <row r="56" spans="1:11" x14ac:dyDescent="0.2">
      <c r="A56" s="20"/>
      <c r="B56" s="2"/>
      <c r="C56" s="23"/>
      <c r="D56" s="24">
        <f t="shared" si="22"/>
        <v>180</v>
      </c>
      <c r="E56" s="24">
        <f t="shared" si="23"/>
        <v>225</v>
      </c>
      <c r="F56" s="24">
        <f t="shared" si="23"/>
        <v>269.99999999999994</v>
      </c>
      <c r="G56" s="24">
        <f t="shared" si="23"/>
        <v>314.99999999999994</v>
      </c>
      <c r="H56" s="24">
        <f t="shared" si="23"/>
        <v>360</v>
      </c>
      <c r="I56" s="24">
        <f t="shared" si="23"/>
        <v>405</v>
      </c>
      <c r="J56" s="24">
        <f t="shared" si="23"/>
        <v>450</v>
      </c>
      <c r="K56" s="20">
        <f t="shared" si="10"/>
        <v>0.2</v>
      </c>
    </row>
    <row r="57" spans="1:11" x14ac:dyDescent="0.2">
      <c r="A57" s="20"/>
      <c r="B57" s="2"/>
      <c r="C57" s="23"/>
      <c r="D57" s="24">
        <f t="shared" si="22"/>
        <v>180</v>
      </c>
      <c r="E57" s="24">
        <f t="shared" si="23"/>
        <v>225</v>
      </c>
      <c r="F57" s="24">
        <f t="shared" si="23"/>
        <v>269.99999999999994</v>
      </c>
      <c r="G57" s="24">
        <f t="shared" si="23"/>
        <v>314.99999999999994</v>
      </c>
      <c r="H57" s="24">
        <f t="shared" si="23"/>
        <v>360</v>
      </c>
      <c r="I57" s="24">
        <f t="shared" si="23"/>
        <v>405</v>
      </c>
      <c r="J57" s="24">
        <f t="shared" si="23"/>
        <v>450</v>
      </c>
      <c r="K57" s="20">
        <f t="shared" si="10"/>
        <v>0.2</v>
      </c>
    </row>
    <row r="58" spans="1:11" x14ac:dyDescent="0.2">
      <c r="A58" s="20"/>
      <c r="B58" s="2"/>
      <c r="C58" s="23"/>
      <c r="D58" s="24">
        <f t="shared" si="22"/>
        <v>180</v>
      </c>
      <c r="E58" s="24">
        <f t="shared" si="23"/>
        <v>225</v>
      </c>
      <c r="F58" s="24">
        <f t="shared" si="23"/>
        <v>269.99999999999994</v>
      </c>
      <c r="G58" s="24">
        <f t="shared" si="23"/>
        <v>314.99999999999994</v>
      </c>
      <c r="H58" s="24">
        <f t="shared" si="23"/>
        <v>360</v>
      </c>
      <c r="I58" s="24">
        <f t="shared" si="23"/>
        <v>405</v>
      </c>
      <c r="J58" s="24">
        <f t="shared" si="23"/>
        <v>450</v>
      </c>
      <c r="K58" s="20">
        <f t="shared" si="10"/>
        <v>0.2</v>
      </c>
    </row>
    <row r="59" spans="1:11" x14ac:dyDescent="0.2">
      <c r="A59" s="20"/>
      <c r="B59" s="2"/>
      <c r="C59" s="23"/>
      <c r="D59" s="24">
        <f t="shared" si="22"/>
        <v>180</v>
      </c>
      <c r="E59" s="24">
        <f t="shared" si="23"/>
        <v>225</v>
      </c>
      <c r="F59" s="24">
        <f t="shared" si="23"/>
        <v>269.99999999999994</v>
      </c>
      <c r="G59" s="24">
        <f t="shared" si="23"/>
        <v>314.99999999999994</v>
      </c>
      <c r="H59" s="24">
        <f t="shared" si="23"/>
        <v>360</v>
      </c>
      <c r="I59" s="24">
        <f t="shared" si="23"/>
        <v>405</v>
      </c>
      <c r="J59" s="24">
        <f t="shared" si="23"/>
        <v>450</v>
      </c>
      <c r="K59" s="20">
        <f t="shared" si="10"/>
        <v>0.2</v>
      </c>
    </row>
    <row r="60" spans="1:11" x14ac:dyDescent="0.2">
      <c r="A60" s="20"/>
      <c r="B60" s="2"/>
      <c r="C60" s="23"/>
      <c r="D60" s="24">
        <f t="shared" si="22"/>
        <v>180</v>
      </c>
      <c r="E60" s="24">
        <f t="shared" si="23"/>
        <v>225</v>
      </c>
      <c r="F60" s="24">
        <f t="shared" si="23"/>
        <v>269.99999999999994</v>
      </c>
      <c r="G60" s="24">
        <f t="shared" si="23"/>
        <v>314.99999999999994</v>
      </c>
      <c r="H60" s="24">
        <f t="shared" si="23"/>
        <v>360</v>
      </c>
      <c r="I60" s="24">
        <f t="shared" si="23"/>
        <v>405</v>
      </c>
      <c r="J60" s="24">
        <f t="shared" si="23"/>
        <v>450</v>
      </c>
      <c r="K60" s="20">
        <f t="shared" si="10"/>
        <v>0.2</v>
      </c>
    </row>
    <row r="61" spans="1:11" x14ac:dyDescent="0.2">
      <c r="A61" s="20"/>
      <c r="B61" s="2"/>
      <c r="C61" s="23"/>
      <c r="D61" s="24">
        <f t="shared" si="22"/>
        <v>180</v>
      </c>
      <c r="E61" s="24">
        <f t="shared" si="23"/>
        <v>225</v>
      </c>
      <c r="F61" s="24">
        <f t="shared" si="23"/>
        <v>269.99999999999994</v>
      </c>
      <c r="G61" s="24">
        <f t="shared" si="23"/>
        <v>314.99999999999994</v>
      </c>
      <c r="H61" s="24">
        <f t="shared" si="23"/>
        <v>360</v>
      </c>
      <c r="I61" s="24">
        <f t="shared" si="23"/>
        <v>405</v>
      </c>
      <c r="J61" s="24">
        <f t="shared" si="23"/>
        <v>450</v>
      </c>
      <c r="K61" s="20">
        <f t="shared" si="10"/>
        <v>0.2</v>
      </c>
    </row>
    <row r="82" spans="12:12" x14ac:dyDescent="0.2">
      <c r="L82" s="22" t="s">
        <v>36</v>
      </c>
    </row>
    <row r="83" spans="12:12" x14ac:dyDescent="0.2">
      <c r="L83" s="28">
        <f>MIN(D35:J35)</f>
        <v>465</v>
      </c>
    </row>
    <row r="84" spans="12:12" x14ac:dyDescent="0.2">
      <c r="L84" s="28"/>
    </row>
    <row r="85" spans="12:12" x14ac:dyDescent="0.2">
      <c r="L85" s="28">
        <f t="shared" ref="L85:L89" si="24">MIN(D37:J37)</f>
        <v>570</v>
      </c>
    </row>
    <row r="86" spans="12:12" x14ac:dyDescent="0.2">
      <c r="L86" s="28"/>
    </row>
    <row r="87" spans="12:12" x14ac:dyDescent="0.2">
      <c r="L87" s="28">
        <f t="shared" si="24"/>
        <v>657.85714285714289</v>
      </c>
    </row>
    <row r="88" spans="12:12" x14ac:dyDescent="0.2">
      <c r="L88" s="28"/>
    </row>
    <row r="89" spans="12:12" x14ac:dyDescent="0.2">
      <c r="L89" s="28">
        <f t="shared" si="24"/>
        <v>735</v>
      </c>
    </row>
    <row r="90" spans="12:12" x14ac:dyDescent="0.2">
      <c r="L90" s="28"/>
    </row>
  </sheetData>
  <phoneticPr fontId="18" type="noConversion"/>
  <conditionalFormatting sqref="D10:J27 L10:L27">
    <cfRule type="expression" dxfId="19" priority="10">
      <formula>D10=MIN($D10:$J10)</formula>
    </cfRule>
  </conditionalFormatting>
  <conditionalFormatting sqref="D38:J38">
    <cfRule type="expression" dxfId="18" priority="9">
      <formula>D38=MIN($D38:$J38)</formula>
    </cfRule>
  </conditionalFormatting>
  <conditionalFormatting sqref="D40:J40">
    <cfRule type="expression" dxfId="17" priority="8">
      <formula>D40=MIN($D40:$J40)</formula>
    </cfRule>
  </conditionalFormatting>
  <conditionalFormatting sqref="D42:J42">
    <cfRule type="expression" dxfId="16" priority="7">
      <formula>D42=MIN($D42:$J42)</formula>
    </cfRule>
  </conditionalFormatting>
  <conditionalFormatting sqref="D43:J43">
    <cfRule type="expression" dxfId="15" priority="6">
      <formula>D43=MIN($D43:$J43)</formula>
    </cfRule>
  </conditionalFormatting>
  <conditionalFormatting sqref="D44:J44">
    <cfRule type="expression" dxfId="14" priority="5">
      <formula>D44=MIN($D44:$J44)</formula>
    </cfRule>
  </conditionalFormatting>
  <conditionalFormatting sqref="D45:J45">
    <cfRule type="expression" dxfId="13" priority="4">
      <formula>D45=MIN($D45:$J45)</formula>
    </cfRule>
  </conditionalFormatting>
  <conditionalFormatting sqref="D46:J46">
    <cfRule type="expression" dxfId="12" priority="3">
      <formula>D46=MIN($D46:$J46)</formula>
    </cfRule>
  </conditionalFormatting>
  <conditionalFormatting sqref="D47:J47">
    <cfRule type="expression" dxfId="11" priority="2">
      <formula>D47=MIN($D47:$J47)</formula>
    </cfRule>
  </conditionalFormatting>
  <conditionalFormatting sqref="D48:J48">
    <cfRule type="expression" dxfId="10" priority="1">
      <formula>D48=MIN($D48:$J48)</formula>
    </cfRule>
  </conditionalFormatting>
  <hyperlinks>
    <hyperlink ref="P26" r:id="rId1"/>
  </hyperlinks>
  <pageMargins left="0.5" right="0.5" top="0.75" bottom="0.75" header="0.3" footer="0.3"/>
  <pageSetup pageOrder="overThenDown" orientation="landscape" r:id="rId2"/>
  <headerFooter>
    <oddHeader>&amp;C&amp;"-,Bold"&amp;16Optimal RapidRide Stop Spacing Analysis (3)</oddHead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79998168889431442"/>
  </sheetPr>
  <dimension ref="A2:P90"/>
  <sheetViews>
    <sheetView showGridLines="0" view="pageLayout" workbookViewId="0">
      <selection activeCell="A29" sqref="A29"/>
    </sheetView>
  </sheetViews>
  <sheetFormatPr baseColWidth="10" defaultColWidth="8.83203125" defaultRowHeight="15" x14ac:dyDescent="0.2"/>
  <cols>
    <col min="1" max="1" width="6.6640625" customWidth="1"/>
    <col min="2" max="2" width="33" customWidth="1"/>
    <col min="3" max="3" width="7.5" customWidth="1"/>
    <col min="4" max="10" width="6.6640625" customWidth="1"/>
    <col min="11" max="11" width="7.5" customWidth="1"/>
    <col min="12" max="12" width="6.6640625" customWidth="1"/>
    <col min="13" max="13" width="8.6640625" customWidth="1"/>
    <col min="14" max="14" width="10.1640625" customWidth="1"/>
  </cols>
  <sheetData>
    <row r="2" spans="1:14" x14ac:dyDescent="0.2">
      <c r="A2" s="87" t="s">
        <v>2</v>
      </c>
      <c r="C2" s="35"/>
      <c r="E2" s="22"/>
      <c r="J2" s="22" t="s">
        <v>17</v>
      </c>
      <c r="M2" s="22" t="s">
        <v>69</v>
      </c>
    </row>
    <row r="3" spans="1:14" x14ac:dyDescent="0.2">
      <c r="A3" s="34" t="s">
        <v>75</v>
      </c>
      <c r="B3" s="39"/>
      <c r="C3" s="92">
        <v>30</v>
      </c>
      <c r="D3" s="83"/>
      <c r="E3" s="84"/>
      <c r="H3" s="84"/>
      <c r="I3" s="84"/>
      <c r="J3" s="39" t="s">
        <v>19</v>
      </c>
      <c r="K3" s="85">
        <f>AVERAGE(K10:K27)</f>
        <v>0.30277777777777776</v>
      </c>
      <c r="M3" s="39" t="s">
        <v>70</v>
      </c>
      <c r="N3" s="97">
        <f>'Est. Annual RR Trips'!G10</f>
        <v>44590</v>
      </c>
    </row>
    <row r="4" spans="1:14" x14ac:dyDescent="0.2">
      <c r="A4" s="39" t="s">
        <v>6</v>
      </c>
      <c r="B4" s="39"/>
      <c r="C4" s="92">
        <v>2</v>
      </c>
      <c r="D4" s="84"/>
      <c r="E4" s="84"/>
      <c r="H4" s="84"/>
      <c r="I4" s="84"/>
      <c r="J4" s="39" t="s">
        <v>20</v>
      </c>
      <c r="K4" s="85">
        <f>MEDIAN(K10:K27)</f>
        <v>0.3</v>
      </c>
      <c r="L4" s="84"/>
      <c r="M4" s="90" t="s">
        <v>90</v>
      </c>
    </row>
    <row r="5" spans="1:14" x14ac:dyDescent="0.2">
      <c r="A5" s="39" t="s">
        <v>21</v>
      </c>
      <c r="B5" s="39"/>
      <c r="C5" s="39">
        <v>3</v>
      </c>
      <c r="D5" s="84"/>
      <c r="E5" s="84"/>
      <c r="H5" s="84"/>
      <c r="I5" s="84"/>
      <c r="J5" s="39" t="s">
        <v>22</v>
      </c>
      <c r="K5" s="85">
        <f>_xlfn.MODE.SNGL(K10:K27)</f>
        <v>0.35</v>
      </c>
      <c r="L5" s="84"/>
      <c r="M5" s="84"/>
    </row>
    <row r="7" spans="1:14" ht="4.25" customHeight="1" x14ac:dyDescent="0.2"/>
    <row r="8" spans="1:14" ht="31.25" customHeight="1" x14ac:dyDescent="0.2">
      <c r="C8" s="79" t="s">
        <v>88</v>
      </c>
      <c r="D8" s="66" t="s">
        <v>83</v>
      </c>
      <c r="E8" s="67"/>
      <c r="F8" s="67"/>
      <c r="G8" s="67"/>
      <c r="H8" s="67"/>
      <c r="I8" s="67"/>
      <c r="J8" s="67"/>
      <c r="K8" s="65"/>
      <c r="L8" s="38"/>
      <c r="M8" s="37"/>
      <c r="N8" s="37"/>
    </row>
    <row r="9" spans="1:14" ht="43.25" customHeight="1" x14ac:dyDescent="0.2">
      <c r="A9" s="51" t="s">
        <v>23</v>
      </c>
      <c r="B9" s="51" t="s">
        <v>24</v>
      </c>
      <c r="C9" s="52" t="s">
        <v>84</v>
      </c>
      <c r="D9" s="53">
        <v>0.2</v>
      </c>
      <c r="E9" s="54">
        <v>0.25</v>
      </c>
      <c r="F9" s="54">
        <v>0.3</v>
      </c>
      <c r="G9" s="54">
        <v>0.35</v>
      </c>
      <c r="H9" s="54">
        <v>0.4</v>
      </c>
      <c r="I9" s="54">
        <v>0.45</v>
      </c>
      <c r="J9" s="54">
        <v>0.5</v>
      </c>
      <c r="K9" s="68" t="s">
        <v>45</v>
      </c>
      <c r="L9" s="75" t="s">
        <v>52</v>
      </c>
      <c r="M9" s="76" t="s">
        <v>94</v>
      </c>
      <c r="N9" s="76" t="s">
        <v>71</v>
      </c>
    </row>
    <row r="10" spans="1:14" x14ac:dyDescent="0.2">
      <c r="A10" s="55">
        <v>1059</v>
      </c>
      <c r="B10" s="39" t="s">
        <v>86</v>
      </c>
      <c r="C10" s="56">
        <v>1.4</v>
      </c>
      <c r="D10" s="69">
        <f t="shared" ref="D10:D27" si="0">IFERROR(($C10/D$9*$C$3)+(D$9/4)/$C$5*60*60*$C$4*2, 0)</f>
        <v>450</v>
      </c>
      <c r="E10" s="70">
        <f t="shared" ref="E10:J19" si="1">($C10/E$9*$C$3)+(E$9/4)/$C$5*60*60*$C$4*2</f>
        <v>468</v>
      </c>
      <c r="F10" s="70">
        <f t="shared" si="1"/>
        <v>499.99999999999994</v>
      </c>
      <c r="G10" s="70">
        <f t="shared" si="1"/>
        <v>540</v>
      </c>
      <c r="H10" s="70">
        <f t="shared" si="1"/>
        <v>585</v>
      </c>
      <c r="I10" s="70">
        <f t="shared" si="1"/>
        <v>633.33333333333326</v>
      </c>
      <c r="J10" s="71">
        <f t="shared" si="1"/>
        <v>684</v>
      </c>
      <c r="K10" s="57">
        <f t="shared" ref="K10:K27" si="2">INDEX($D$9:$J$9, 1, MATCH(MIN(D10:J10), D10:J10, 0))</f>
        <v>0.2</v>
      </c>
      <c r="L10" s="93">
        <v>2</v>
      </c>
      <c r="M10" s="95">
        <f>((L10/K10)*$C$3)-((L10/0.5)*$C$3)</f>
        <v>180</v>
      </c>
      <c r="N10" s="58">
        <f t="shared" ref="N10:N27" si="3">M10*$N$3/(60*60)</f>
        <v>2229.5</v>
      </c>
    </row>
    <row r="11" spans="1:14" x14ac:dyDescent="0.2">
      <c r="A11" s="55">
        <v>1012</v>
      </c>
      <c r="B11" s="39" t="s">
        <v>29</v>
      </c>
      <c r="C11" s="59">
        <v>2</v>
      </c>
      <c r="D11" s="72">
        <f t="shared" si="0"/>
        <v>540</v>
      </c>
      <c r="E11" s="73">
        <f t="shared" si="1"/>
        <v>540</v>
      </c>
      <c r="F11" s="73">
        <f t="shared" si="1"/>
        <v>560</v>
      </c>
      <c r="G11" s="73">
        <f t="shared" si="1"/>
        <v>591.42857142857133</v>
      </c>
      <c r="H11" s="73">
        <f t="shared" si="1"/>
        <v>630</v>
      </c>
      <c r="I11" s="73">
        <f t="shared" si="1"/>
        <v>673.33333333333337</v>
      </c>
      <c r="J11" s="74">
        <f t="shared" si="1"/>
        <v>720</v>
      </c>
      <c r="K11" s="55">
        <f t="shared" si="2"/>
        <v>0.2</v>
      </c>
      <c r="L11" s="94">
        <v>6</v>
      </c>
      <c r="M11" s="96">
        <f t="shared" ref="M11:M27" si="4">((L11/K11)*$C$3)-((L11/0.5)*$C$3)</f>
        <v>540</v>
      </c>
      <c r="N11" s="58">
        <f t="shared" si="3"/>
        <v>6688.5</v>
      </c>
    </row>
    <row r="12" spans="1:14" x14ac:dyDescent="0.2">
      <c r="A12" s="55">
        <v>1013</v>
      </c>
      <c r="B12" s="39" t="s">
        <v>37</v>
      </c>
      <c r="C12" s="59">
        <v>2.2999999999999998</v>
      </c>
      <c r="D12" s="72">
        <f t="shared" si="0"/>
        <v>585</v>
      </c>
      <c r="E12" s="73">
        <f t="shared" si="1"/>
        <v>576</v>
      </c>
      <c r="F12" s="73">
        <f t="shared" si="1"/>
        <v>589.99999999999989</v>
      </c>
      <c r="G12" s="73">
        <f t="shared" si="1"/>
        <v>617.14285714285711</v>
      </c>
      <c r="H12" s="73">
        <f t="shared" si="1"/>
        <v>652.5</v>
      </c>
      <c r="I12" s="73">
        <f t="shared" si="1"/>
        <v>693.33333333333326</v>
      </c>
      <c r="J12" s="74">
        <f t="shared" si="1"/>
        <v>738</v>
      </c>
      <c r="K12" s="55">
        <f t="shared" si="2"/>
        <v>0.25</v>
      </c>
      <c r="L12" s="94">
        <v>7</v>
      </c>
      <c r="M12" s="96">
        <f t="shared" si="4"/>
        <v>420</v>
      </c>
      <c r="N12" s="58">
        <f t="shared" si="3"/>
        <v>5202.166666666667</v>
      </c>
    </row>
    <row r="13" spans="1:14" x14ac:dyDescent="0.2">
      <c r="A13" s="55">
        <v>1063</v>
      </c>
      <c r="B13" s="77" t="s">
        <v>87</v>
      </c>
      <c r="C13" s="78">
        <v>2.6</v>
      </c>
      <c r="D13" s="72">
        <f t="shared" si="0"/>
        <v>630</v>
      </c>
      <c r="E13" s="73">
        <f t="shared" si="1"/>
        <v>612</v>
      </c>
      <c r="F13" s="73">
        <f t="shared" si="1"/>
        <v>620</v>
      </c>
      <c r="G13" s="73">
        <f t="shared" si="1"/>
        <v>642.85714285714289</v>
      </c>
      <c r="H13" s="73">
        <f t="shared" si="1"/>
        <v>675</v>
      </c>
      <c r="I13" s="73">
        <f t="shared" si="1"/>
        <v>713.33333333333337</v>
      </c>
      <c r="J13" s="74">
        <f t="shared" si="1"/>
        <v>756</v>
      </c>
      <c r="K13" s="55">
        <f t="shared" si="2"/>
        <v>0.25</v>
      </c>
      <c r="L13" s="94">
        <v>11</v>
      </c>
      <c r="M13" s="96">
        <f t="shared" si="4"/>
        <v>660</v>
      </c>
      <c r="N13" s="58">
        <f t="shared" si="3"/>
        <v>8174.833333333333</v>
      </c>
    </row>
    <row r="14" spans="1:14" x14ac:dyDescent="0.2">
      <c r="A14" s="55">
        <v>674</v>
      </c>
      <c r="B14" s="77" t="s">
        <v>33</v>
      </c>
      <c r="C14" s="59">
        <v>2.9</v>
      </c>
      <c r="D14" s="72">
        <f t="shared" si="0"/>
        <v>675</v>
      </c>
      <c r="E14" s="73">
        <f t="shared" si="1"/>
        <v>648</v>
      </c>
      <c r="F14" s="73">
        <f t="shared" si="1"/>
        <v>650</v>
      </c>
      <c r="G14" s="73">
        <f t="shared" si="1"/>
        <v>668.57142857142856</v>
      </c>
      <c r="H14" s="73">
        <f t="shared" si="1"/>
        <v>697.5</v>
      </c>
      <c r="I14" s="73">
        <f t="shared" si="1"/>
        <v>733.33333333333326</v>
      </c>
      <c r="J14" s="74">
        <f t="shared" si="1"/>
        <v>774</v>
      </c>
      <c r="K14" s="55">
        <f t="shared" si="2"/>
        <v>0.25</v>
      </c>
      <c r="L14" s="94">
        <v>9</v>
      </c>
      <c r="M14" s="96">
        <f t="shared" si="4"/>
        <v>540</v>
      </c>
      <c r="N14" s="58">
        <f t="shared" si="3"/>
        <v>6688.5</v>
      </c>
    </row>
    <row r="15" spans="1:14" x14ac:dyDescent="0.2">
      <c r="A15" s="55" t="s">
        <v>27</v>
      </c>
      <c r="B15" s="39" t="s">
        <v>28</v>
      </c>
      <c r="C15" s="59">
        <v>3</v>
      </c>
      <c r="D15" s="72">
        <f t="shared" si="0"/>
        <v>690</v>
      </c>
      <c r="E15" s="73">
        <f t="shared" si="1"/>
        <v>660</v>
      </c>
      <c r="F15" s="73">
        <f t="shared" si="1"/>
        <v>660</v>
      </c>
      <c r="G15" s="73">
        <f t="shared" si="1"/>
        <v>677.14285714285711</v>
      </c>
      <c r="H15" s="73">
        <f t="shared" si="1"/>
        <v>705</v>
      </c>
      <c r="I15" s="73">
        <f t="shared" si="1"/>
        <v>740</v>
      </c>
      <c r="J15" s="74">
        <f t="shared" si="1"/>
        <v>780</v>
      </c>
      <c r="K15" s="55">
        <f t="shared" si="2"/>
        <v>0.25</v>
      </c>
      <c r="L15" s="94">
        <v>14</v>
      </c>
      <c r="M15" s="96">
        <f t="shared" si="4"/>
        <v>840</v>
      </c>
      <c r="N15" s="58">
        <f t="shared" si="3"/>
        <v>10404.333333333334</v>
      </c>
    </row>
    <row r="16" spans="1:14" x14ac:dyDescent="0.2">
      <c r="A16" s="55">
        <v>672</v>
      </c>
      <c r="B16" s="39" t="s">
        <v>31</v>
      </c>
      <c r="C16" s="59">
        <v>3.4</v>
      </c>
      <c r="D16" s="72">
        <f t="shared" si="0"/>
        <v>750</v>
      </c>
      <c r="E16" s="73">
        <f t="shared" si="1"/>
        <v>708</v>
      </c>
      <c r="F16" s="73">
        <f t="shared" si="1"/>
        <v>700</v>
      </c>
      <c r="G16" s="73">
        <f t="shared" si="1"/>
        <v>711.42857142857133</v>
      </c>
      <c r="H16" s="73">
        <f t="shared" si="1"/>
        <v>735</v>
      </c>
      <c r="I16" s="73">
        <f t="shared" si="1"/>
        <v>766.66666666666663</v>
      </c>
      <c r="J16" s="74">
        <f t="shared" si="1"/>
        <v>804</v>
      </c>
      <c r="K16" s="55">
        <f t="shared" si="2"/>
        <v>0.3</v>
      </c>
      <c r="L16" s="94">
        <v>3</v>
      </c>
      <c r="M16" s="96">
        <f t="shared" si="4"/>
        <v>120</v>
      </c>
      <c r="N16" s="58">
        <f t="shared" si="3"/>
        <v>1486.3333333333333</v>
      </c>
    </row>
    <row r="17" spans="1:16" x14ac:dyDescent="0.2">
      <c r="A17" s="55">
        <v>1009</v>
      </c>
      <c r="B17" s="39" t="s">
        <v>26</v>
      </c>
      <c r="C17" s="78">
        <v>3.7</v>
      </c>
      <c r="D17" s="72">
        <f t="shared" si="0"/>
        <v>795</v>
      </c>
      <c r="E17" s="73">
        <f t="shared" si="1"/>
        <v>744</v>
      </c>
      <c r="F17" s="73">
        <f t="shared" si="1"/>
        <v>730</v>
      </c>
      <c r="G17" s="73">
        <f t="shared" si="1"/>
        <v>737.14285714285711</v>
      </c>
      <c r="H17" s="73">
        <f t="shared" si="1"/>
        <v>757.5</v>
      </c>
      <c r="I17" s="73">
        <f t="shared" si="1"/>
        <v>786.66666666666674</v>
      </c>
      <c r="J17" s="74">
        <f t="shared" si="1"/>
        <v>822</v>
      </c>
      <c r="K17" s="55">
        <f t="shared" si="2"/>
        <v>0.3</v>
      </c>
      <c r="L17" s="94">
        <v>15</v>
      </c>
      <c r="M17" s="96">
        <f t="shared" si="4"/>
        <v>600</v>
      </c>
      <c r="N17" s="58">
        <f t="shared" si="3"/>
        <v>7431.666666666667</v>
      </c>
    </row>
    <row r="18" spans="1:16" x14ac:dyDescent="0.2">
      <c r="A18" s="55">
        <v>676</v>
      </c>
      <c r="B18" s="39" t="s">
        <v>35</v>
      </c>
      <c r="C18" s="59">
        <v>3.8</v>
      </c>
      <c r="D18" s="72">
        <f t="shared" si="0"/>
        <v>809.99999999999989</v>
      </c>
      <c r="E18" s="73">
        <f t="shared" si="1"/>
        <v>756</v>
      </c>
      <c r="F18" s="73">
        <f t="shared" si="1"/>
        <v>740</v>
      </c>
      <c r="G18" s="73">
        <f t="shared" si="1"/>
        <v>745.71428571428567</v>
      </c>
      <c r="H18" s="73">
        <f t="shared" si="1"/>
        <v>765</v>
      </c>
      <c r="I18" s="73">
        <f t="shared" si="1"/>
        <v>793.33333333333337</v>
      </c>
      <c r="J18" s="74">
        <f t="shared" si="1"/>
        <v>828</v>
      </c>
      <c r="K18" s="55">
        <f t="shared" si="2"/>
        <v>0.3</v>
      </c>
      <c r="L18" s="94">
        <v>13</v>
      </c>
      <c r="M18" s="96">
        <f t="shared" si="4"/>
        <v>520</v>
      </c>
      <c r="N18" s="58">
        <f t="shared" si="3"/>
        <v>6440.7777777777774</v>
      </c>
    </row>
    <row r="19" spans="1:16" x14ac:dyDescent="0.2">
      <c r="A19" s="55">
        <v>671</v>
      </c>
      <c r="B19" s="39" t="s">
        <v>30</v>
      </c>
      <c r="C19" s="59">
        <v>4</v>
      </c>
      <c r="D19" s="72">
        <f t="shared" si="0"/>
        <v>840</v>
      </c>
      <c r="E19" s="73">
        <f t="shared" si="1"/>
        <v>780</v>
      </c>
      <c r="F19" s="73">
        <f t="shared" si="1"/>
        <v>760</v>
      </c>
      <c r="G19" s="73">
        <f t="shared" si="1"/>
        <v>762.85714285714289</v>
      </c>
      <c r="H19" s="73">
        <f t="shared" si="1"/>
        <v>780</v>
      </c>
      <c r="I19" s="73">
        <f t="shared" si="1"/>
        <v>806.66666666666674</v>
      </c>
      <c r="J19" s="74">
        <f t="shared" si="1"/>
        <v>840</v>
      </c>
      <c r="K19" s="55">
        <f t="shared" si="2"/>
        <v>0.3</v>
      </c>
      <c r="L19" s="94">
        <v>12</v>
      </c>
      <c r="M19" s="96">
        <f t="shared" si="4"/>
        <v>480</v>
      </c>
      <c r="N19" s="58">
        <f t="shared" si="3"/>
        <v>5945.333333333333</v>
      </c>
    </row>
    <row r="20" spans="1:16" x14ac:dyDescent="0.2">
      <c r="A20" s="55">
        <v>1030</v>
      </c>
      <c r="B20" s="39" t="s">
        <v>39</v>
      </c>
      <c r="C20" s="59">
        <v>4.3</v>
      </c>
      <c r="D20" s="72">
        <f t="shared" si="0"/>
        <v>884.99999999999989</v>
      </c>
      <c r="E20" s="73">
        <f t="shared" ref="E20:J27" si="5">($C20/E$9*$C$3)+(E$9/4)/$C$5*60*60*$C$4*2</f>
        <v>816</v>
      </c>
      <c r="F20" s="73">
        <f t="shared" si="5"/>
        <v>790</v>
      </c>
      <c r="G20" s="73">
        <f t="shared" si="5"/>
        <v>788.57142857142856</v>
      </c>
      <c r="H20" s="73">
        <f t="shared" si="5"/>
        <v>802.5</v>
      </c>
      <c r="I20" s="73">
        <f t="shared" si="5"/>
        <v>826.66666666666674</v>
      </c>
      <c r="J20" s="74">
        <f t="shared" si="5"/>
        <v>858</v>
      </c>
      <c r="K20" s="55">
        <f t="shared" si="2"/>
        <v>0.35</v>
      </c>
      <c r="L20" s="94">
        <v>18</v>
      </c>
      <c r="M20" s="96">
        <f t="shared" si="4"/>
        <v>462.85714285714289</v>
      </c>
      <c r="N20" s="58">
        <f t="shared" si="3"/>
        <v>5733</v>
      </c>
      <c r="P20" s="91" t="s">
        <v>91</v>
      </c>
    </row>
    <row r="21" spans="1:16" x14ac:dyDescent="0.2">
      <c r="A21" s="55">
        <v>1056</v>
      </c>
      <c r="B21" s="39" t="s">
        <v>41</v>
      </c>
      <c r="C21" s="59">
        <v>4.5</v>
      </c>
      <c r="D21" s="72">
        <f t="shared" si="0"/>
        <v>915</v>
      </c>
      <c r="E21" s="73">
        <f t="shared" si="5"/>
        <v>840</v>
      </c>
      <c r="F21" s="73">
        <f t="shared" si="5"/>
        <v>810</v>
      </c>
      <c r="G21" s="73">
        <f t="shared" si="5"/>
        <v>805.71428571428567</v>
      </c>
      <c r="H21" s="73">
        <f t="shared" si="5"/>
        <v>817.5</v>
      </c>
      <c r="I21" s="73">
        <f t="shared" si="5"/>
        <v>840</v>
      </c>
      <c r="J21" s="74">
        <f t="shared" si="5"/>
        <v>870</v>
      </c>
      <c r="K21" s="55">
        <f t="shared" si="2"/>
        <v>0.35</v>
      </c>
      <c r="L21" s="94">
        <v>12</v>
      </c>
      <c r="M21" s="96">
        <f t="shared" si="4"/>
        <v>308.57142857142844</v>
      </c>
      <c r="N21" s="58">
        <f t="shared" si="3"/>
        <v>3821.9999999999986</v>
      </c>
      <c r="P21" t="s">
        <v>43</v>
      </c>
    </row>
    <row r="22" spans="1:16" x14ac:dyDescent="0.2">
      <c r="A22" s="55">
        <v>1052</v>
      </c>
      <c r="B22" s="39" t="s">
        <v>42</v>
      </c>
      <c r="C22" s="59">
        <v>4.7</v>
      </c>
      <c r="D22" s="72">
        <f t="shared" si="0"/>
        <v>945</v>
      </c>
      <c r="E22" s="73">
        <f t="shared" si="5"/>
        <v>864</v>
      </c>
      <c r="F22" s="73">
        <f t="shared" si="5"/>
        <v>830</v>
      </c>
      <c r="G22" s="73">
        <f t="shared" si="5"/>
        <v>822.85714285714289</v>
      </c>
      <c r="H22" s="73">
        <f t="shared" si="5"/>
        <v>832.5</v>
      </c>
      <c r="I22" s="73">
        <f t="shared" si="5"/>
        <v>853.33333333333326</v>
      </c>
      <c r="J22" s="74">
        <f t="shared" si="5"/>
        <v>882</v>
      </c>
      <c r="K22" s="55">
        <f t="shared" si="2"/>
        <v>0.35</v>
      </c>
      <c r="L22" s="94">
        <v>14</v>
      </c>
      <c r="M22" s="96">
        <f t="shared" si="4"/>
        <v>360</v>
      </c>
      <c r="N22" s="58">
        <f t="shared" si="3"/>
        <v>4459</v>
      </c>
      <c r="P22" t="s">
        <v>49</v>
      </c>
    </row>
    <row r="23" spans="1:16" x14ac:dyDescent="0.2">
      <c r="A23" s="55">
        <v>673</v>
      </c>
      <c r="B23" s="39" t="s">
        <v>32</v>
      </c>
      <c r="C23" s="59">
        <v>4.8</v>
      </c>
      <c r="D23" s="72">
        <f t="shared" si="0"/>
        <v>959.99999999999989</v>
      </c>
      <c r="E23" s="73">
        <f t="shared" si="5"/>
        <v>876</v>
      </c>
      <c r="F23" s="73">
        <f t="shared" si="5"/>
        <v>840</v>
      </c>
      <c r="G23" s="73">
        <f t="shared" si="5"/>
        <v>831.42857142857133</v>
      </c>
      <c r="H23" s="73">
        <f t="shared" si="5"/>
        <v>840</v>
      </c>
      <c r="I23" s="73">
        <f t="shared" si="5"/>
        <v>860</v>
      </c>
      <c r="J23" s="74">
        <f t="shared" si="5"/>
        <v>888</v>
      </c>
      <c r="K23" s="55">
        <f t="shared" si="2"/>
        <v>0.35</v>
      </c>
      <c r="L23" s="94">
        <v>11</v>
      </c>
      <c r="M23" s="96">
        <f t="shared" si="4"/>
        <v>282.85714285714289</v>
      </c>
      <c r="N23" s="58">
        <f t="shared" si="3"/>
        <v>3503.5000000000005</v>
      </c>
      <c r="P23" t="s">
        <v>50</v>
      </c>
    </row>
    <row r="24" spans="1:16" x14ac:dyDescent="0.2">
      <c r="A24" s="55">
        <v>675</v>
      </c>
      <c r="B24" s="39" t="s">
        <v>34</v>
      </c>
      <c r="C24" s="59">
        <v>4.8</v>
      </c>
      <c r="D24" s="72">
        <f t="shared" si="0"/>
        <v>959.99999999999989</v>
      </c>
      <c r="E24" s="73">
        <f t="shared" si="5"/>
        <v>876</v>
      </c>
      <c r="F24" s="73">
        <f t="shared" si="5"/>
        <v>840</v>
      </c>
      <c r="G24" s="73">
        <f t="shared" si="5"/>
        <v>831.42857142857133</v>
      </c>
      <c r="H24" s="73">
        <f t="shared" si="5"/>
        <v>840</v>
      </c>
      <c r="I24" s="73">
        <f t="shared" si="5"/>
        <v>860</v>
      </c>
      <c r="J24" s="74">
        <f t="shared" si="5"/>
        <v>888</v>
      </c>
      <c r="K24" s="55">
        <f t="shared" si="2"/>
        <v>0.35</v>
      </c>
      <c r="L24" s="94">
        <v>13</v>
      </c>
      <c r="M24" s="96">
        <f t="shared" si="4"/>
        <v>334.28571428571445</v>
      </c>
      <c r="N24" s="58">
        <f t="shared" si="3"/>
        <v>4140.5000000000018</v>
      </c>
      <c r="P24" t="s">
        <v>51</v>
      </c>
    </row>
    <row r="25" spans="1:16" x14ac:dyDescent="0.2">
      <c r="A25" s="55">
        <v>1033</v>
      </c>
      <c r="B25" s="39" t="s">
        <v>25</v>
      </c>
      <c r="C25" s="80">
        <v>4.5999999999999996</v>
      </c>
      <c r="D25" s="72">
        <f t="shared" si="0"/>
        <v>929.99999999999989</v>
      </c>
      <c r="E25" s="73">
        <f t="shared" si="5"/>
        <v>852</v>
      </c>
      <c r="F25" s="73">
        <f t="shared" si="5"/>
        <v>819.99999999999989</v>
      </c>
      <c r="G25" s="73">
        <f t="shared" si="5"/>
        <v>814.28571428571422</v>
      </c>
      <c r="H25" s="73">
        <f t="shared" si="5"/>
        <v>825</v>
      </c>
      <c r="I25" s="73">
        <f t="shared" si="5"/>
        <v>846.66666666666663</v>
      </c>
      <c r="J25" s="74">
        <f t="shared" si="5"/>
        <v>876</v>
      </c>
      <c r="K25" s="55">
        <f t="shared" si="2"/>
        <v>0.35</v>
      </c>
      <c r="L25" s="94">
        <v>16</v>
      </c>
      <c r="M25" s="96">
        <f t="shared" si="4"/>
        <v>411.42857142857156</v>
      </c>
      <c r="N25" s="58">
        <f t="shared" si="3"/>
        <v>5096.0000000000018</v>
      </c>
      <c r="P25" t="s">
        <v>46</v>
      </c>
    </row>
    <row r="26" spans="1:16" x14ac:dyDescent="0.2">
      <c r="A26" s="55" t="s">
        <v>40</v>
      </c>
      <c r="B26" s="39" t="s">
        <v>85</v>
      </c>
      <c r="C26" s="59">
        <v>5.4</v>
      </c>
      <c r="D26" s="72">
        <f t="shared" si="0"/>
        <v>1050</v>
      </c>
      <c r="E26" s="73">
        <f t="shared" si="5"/>
        <v>948</v>
      </c>
      <c r="F26" s="73">
        <f t="shared" si="5"/>
        <v>900</v>
      </c>
      <c r="G26" s="73">
        <f t="shared" si="5"/>
        <v>882.85714285714289</v>
      </c>
      <c r="H26" s="73">
        <f t="shared" si="5"/>
        <v>885</v>
      </c>
      <c r="I26" s="73">
        <f t="shared" si="5"/>
        <v>900</v>
      </c>
      <c r="J26" s="74">
        <f t="shared" si="5"/>
        <v>924</v>
      </c>
      <c r="K26" s="55">
        <f t="shared" si="2"/>
        <v>0.35</v>
      </c>
      <c r="L26" s="94">
        <v>13</v>
      </c>
      <c r="M26" s="96">
        <f t="shared" si="4"/>
        <v>334.28571428571445</v>
      </c>
      <c r="N26" s="58">
        <f t="shared" si="3"/>
        <v>4140.5000000000018</v>
      </c>
      <c r="P26" s="29" t="s">
        <v>18</v>
      </c>
    </row>
    <row r="27" spans="1:16" x14ac:dyDescent="0.2">
      <c r="A27" s="55">
        <v>1027</v>
      </c>
      <c r="B27" s="39" t="s">
        <v>38</v>
      </c>
      <c r="C27" s="59">
        <v>5.9</v>
      </c>
      <c r="D27" s="69">
        <f t="shared" si="0"/>
        <v>1125</v>
      </c>
      <c r="E27" s="70">
        <f t="shared" si="5"/>
        <v>1008</v>
      </c>
      <c r="F27" s="70">
        <f t="shared" si="5"/>
        <v>950</v>
      </c>
      <c r="G27" s="70">
        <f t="shared" si="5"/>
        <v>925.71428571428567</v>
      </c>
      <c r="H27" s="70">
        <f t="shared" si="5"/>
        <v>922.5</v>
      </c>
      <c r="I27" s="70">
        <f t="shared" si="5"/>
        <v>933.33333333333326</v>
      </c>
      <c r="J27" s="71">
        <f t="shared" si="5"/>
        <v>954</v>
      </c>
      <c r="K27" s="55">
        <f t="shared" si="2"/>
        <v>0.4</v>
      </c>
      <c r="L27" s="94">
        <v>15</v>
      </c>
      <c r="M27" s="96">
        <f t="shared" si="4"/>
        <v>225</v>
      </c>
      <c r="N27" s="58">
        <f t="shared" si="3"/>
        <v>2786.875</v>
      </c>
      <c r="P27" s="1"/>
    </row>
    <row r="28" spans="1:16" x14ac:dyDescent="0.2">
      <c r="A28" s="60"/>
      <c r="B28" s="61" t="s">
        <v>44</v>
      </c>
      <c r="C28" s="62"/>
      <c r="D28" s="62">
        <f t="shared" ref="D28:J28" si="6">COUNTIFS($K$10:$K$27,D9)</f>
        <v>2</v>
      </c>
      <c r="E28" s="62">
        <f t="shared" si="6"/>
        <v>4</v>
      </c>
      <c r="F28" s="62">
        <f t="shared" si="6"/>
        <v>4</v>
      </c>
      <c r="G28" s="62">
        <f t="shared" si="6"/>
        <v>7</v>
      </c>
      <c r="H28" s="62">
        <f t="shared" si="6"/>
        <v>1</v>
      </c>
      <c r="I28" s="62">
        <f t="shared" si="6"/>
        <v>0</v>
      </c>
      <c r="J28" s="62">
        <f t="shared" si="6"/>
        <v>0</v>
      </c>
      <c r="K28" s="60"/>
      <c r="L28" s="63"/>
      <c r="M28" s="99"/>
      <c r="N28" s="64">
        <f>SUM(N10:N27)</f>
        <v>94373.319444444438</v>
      </c>
    </row>
    <row r="29" spans="1:16" x14ac:dyDescent="0.2">
      <c r="A29" s="30"/>
      <c r="B29" s="33"/>
      <c r="C29" s="31"/>
      <c r="D29" s="32"/>
      <c r="E29" s="32"/>
      <c r="F29" s="32"/>
      <c r="G29" s="32"/>
      <c r="H29" s="32"/>
      <c r="I29" s="32"/>
      <c r="J29" s="32"/>
      <c r="K29" s="30"/>
      <c r="M29" s="29"/>
    </row>
    <row r="30" spans="1:16" x14ac:dyDescent="0.2">
      <c r="A30" s="30"/>
      <c r="B30" s="82" t="s">
        <v>92</v>
      </c>
      <c r="C30" s="31"/>
      <c r="D30" s="32"/>
      <c r="E30" s="32"/>
      <c r="F30" s="32"/>
      <c r="G30" s="32"/>
      <c r="H30" s="32"/>
      <c r="I30" s="32"/>
      <c r="J30" s="32"/>
      <c r="K30" s="30"/>
      <c r="L30" s="28"/>
    </row>
    <row r="31" spans="1:16" x14ac:dyDescent="0.2">
      <c r="A31" s="30"/>
      <c r="B31" s="88" t="s">
        <v>89</v>
      </c>
      <c r="C31" s="31"/>
      <c r="D31" s="32"/>
      <c r="E31" s="32"/>
      <c r="F31" s="32"/>
      <c r="G31" s="32"/>
      <c r="H31" s="32"/>
      <c r="I31" s="32"/>
      <c r="J31" s="32"/>
      <c r="K31" s="30"/>
    </row>
    <row r="32" spans="1:16" x14ac:dyDescent="0.2">
      <c r="A32" s="30"/>
      <c r="B32" s="33"/>
      <c r="C32" s="31"/>
      <c r="D32" s="32"/>
      <c r="E32" s="32"/>
      <c r="F32" s="32"/>
      <c r="G32" s="32"/>
      <c r="H32" s="32"/>
      <c r="I32" s="32"/>
      <c r="J32" s="32"/>
      <c r="K32" s="30"/>
    </row>
    <row r="33" spans="1:11" x14ac:dyDescent="0.2">
      <c r="A33" s="20"/>
      <c r="B33" s="2"/>
      <c r="C33" s="23"/>
      <c r="D33" s="24"/>
      <c r="E33" s="24"/>
      <c r="F33" s="24"/>
      <c r="G33" s="24"/>
      <c r="H33" s="24"/>
      <c r="I33" s="24"/>
      <c r="J33" s="24"/>
      <c r="K33" s="21" t="s">
        <v>47</v>
      </c>
    </row>
    <row r="34" spans="1:11" x14ac:dyDescent="0.2">
      <c r="A34" s="20"/>
      <c r="B34" s="2"/>
      <c r="C34" s="23"/>
      <c r="D34" s="25">
        <v>0.2</v>
      </c>
      <c r="E34" s="26">
        <v>0.25</v>
      </c>
      <c r="F34" s="26">
        <v>0.3</v>
      </c>
      <c r="G34" s="26">
        <v>0.35</v>
      </c>
      <c r="H34" s="26">
        <v>0.4</v>
      </c>
      <c r="I34" s="26">
        <v>0.45</v>
      </c>
      <c r="J34" s="27">
        <v>0.5</v>
      </c>
      <c r="K34" s="21" t="s">
        <v>48</v>
      </c>
    </row>
    <row r="35" spans="1:11" x14ac:dyDescent="0.2">
      <c r="A35" s="20"/>
      <c r="B35" s="2"/>
      <c r="C35" s="23">
        <v>2</v>
      </c>
      <c r="D35" s="24">
        <f>IFERROR(($C35/D$9*$C$3)+(D$9/4)/$C$5*60*60*$C$4*2, 0)</f>
        <v>540</v>
      </c>
      <c r="E35" s="24">
        <f t="shared" ref="E35:J35" si="7">($C35/E$9*$C$3)+(E$9/4)/$C$5*60*60*$C$4*2</f>
        <v>540</v>
      </c>
      <c r="F35" s="24">
        <f t="shared" si="7"/>
        <v>560</v>
      </c>
      <c r="G35" s="24">
        <f t="shared" si="7"/>
        <v>591.42857142857133</v>
      </c>
      <c r="H35" s="24">
        <f t="shared" si="7"/>
        <v>630</v>
      </c>
      <c r="I35" s="24">
        <f t="shared" si="7"/>
        <v>673.33333333333337</v>
      </c>
      <c r="J35" s="24">
        <f t="shared" si="7"/>
        <v>720</v>
      </c>
      <c r="K35" s="20">
        <f>INDEX($D$9:$J$9, 1, MATCH(MIN(D35:J35), D35:J35, 0))</f>
        <v>0.2</v>
      </c>
    </row>
    <row r="36" spans="1:11" x14ac:dyDescent="0.2">
      <c r="A36" s="20"/>
      <c r="B36" s="2"/>
      <c r="C36" s="23" t="str">
        <f>CONCATENATE("Min", C35)</f>
        <v>Min2</v>
      </c>
      <c r="D36" s="24">
        <f>IF(D35=MIN($D35:$J35), D35, NA())</f>
        <v>540</v>
      </c>
      <c r="E36" s="24">
        <f t="shared" ref="E36:J36" si="8">IF(E35=MIN($D35:$J35), E35, NA())</f>
        <v>540</v>
      </c>
      <c r="F36" s="24" t="e">
        <f t="shared" si="8"/>
        <v>#N/A</v>
      </c>
      <c r="G36" s="24" t="e">
        <f t="shared" si="8"/>
        <v>#N/A</v>
      </c>
      <c r="H36" s="24" t="e">
        <f t="shared" si="8"/>
        <v>#N/A</v>
      </c>
      <c r="I36" s="24" t="e">
        <f t="shared" si="8"/>
        <v>#N/A</v>
      </c>
      <c r="J36" s="24" t="e">
        <f t="shared" si="8"/>
        <v>#N/A</v>
      </c>
      <c r="K36" s="20"/>
    </row>
    <row r="37" spans="1:11" x14ac:dyDescent="0.2">
      <c r="A37" s="20"/>
      <c r="B37" s="2"/>
      <c r="C37" s="23">
        <v>3</v>
      </c>
      <c r="D37" s="24">
        <f>IFERROR(($C37/D$9*$C$3)+(D$9/4)/$C$5*60*60*$C$4*2, 0)</f>
        <v>690</v>
      </c>
      <c r="E37" s="24">
        <f t="shared" ref="E37:J37" si="9">($C37/E$9*$C$3)+(E$9/4)/$C$5*60*60*$C$4*2</f>
        <v>660</v>
      </c>
      <c r="F37" s="24">
        <f t="shared" si="9"/>
        <v>660</v>
      </c>
      <c r="G37" s="24">
        <f t="shared" si="9"/>
        <v>677.14285714285711</v>
      </c>
      <c r="H37" s="24">
        <f t="shared" si="9"/>
        <v>705</v>
      </c>
      <c r="I37" s="24">
        <f t="shared" si="9"/>
        <v>740</v>
      </c>
      <c r="J37" s="24">
        <f t="shared" si="9"/>
        <v>780</v>
      </c>
      <c r="K37" s="20">
        <f t="shared" ref="K37:K61" si="10">INDEX($D$9:$J$9, 1, MATCH(MIN(D37:J37), D37:J37, 0))</f>
        <v>0.25</v>
      </c>
    </row>
    <row r="38" spans="1:11" x14ac:dyDescent="0.2">
      <c r="A38" s="20"/>
      <c r="B38" s="2"/>
      <c r="C38" s="23" t="str">
        <f>CONCATENATE("Min", C37)</f>
        <v>Min3</v>
      </c>
      <c r="D38" s="24" t="e">
        <f>IF(D37=MIN($D37:$J37), D37, NA())</f>
        <v>#N/A</v>
      </c>
      <c r="E38" s="24">
        <f t="shared" ref="E38:J38" si="11">IF(E37=MIN($D37:$J37), E37, NA())</f>
        <v>660</v>
      </c>
      <c r="F38" s="24">
        <f t="shared" si="11"/>
        <v>660</v>
      </c>
      <c r="G38" s="24" t="e">
        <f t="shared" si="11"/>
        <v>#N/A</v>
      </c>
      <c r="H38" s="24" t="e">
        <f t="shared" si="11"/>
        <v>#N/A</v>
      </c>
      <c r="I38" s="24" t="e">
        <f t="shared" si="11"/>
        <v>#N/A</v>
      </c>
      <c r="J38" s="24" t="e">
        <f t="shared" si="11"/>
        <v>#N/A</v>
      </c>
      <c r="K38" s="20" t="e">
        <f t="shared" si="10"/>
        <v>#N/A</v>
      </c>
    </row>
    <row r="39" spans="1:11" x14ac:dyDescent="0.2">
      <c r="A39" s="20"/>
      <c r="B39" s="2"/>
      <c r="C39" s="23">
        <v>4</v>
      </c>
      <c r="D39" s="24">
        <f>IFERROR(($C39/D$9*$C$3)+(D$9/4)/$C$5*60*60*$C$4*2, 0)</f>
        <v>840</v>
      </c>
      <c r="E39" s="24">
        <f t="shared" ref="E39:J39" si="12">($C39/E$9*$C$3)+(E$9/4)/$C$5*60*60*$C$4*2</f>
        <v>780</v>
      </c>
      <c r="F39" s="24">
        <f t="shared" si="12"/>
        <v>760</v>
      </c>
      <c r="G39" s="24">
        <f t="shared" si="12"/>
        <v>762.85714285714289</v>
      </c>
      <c r="H39" s="24">
        <f t="shared" si="12"/>
        <v>780</v>
      </c>
      <c r="I39" s="24">
        <f t="shared" si="12"/>
        <v>806.66666666666674</v>
      </c>
      <c r="J39" s="24">
        <f t="shared" si="12"/>
        <v>840</v>
      </c>
      <c r="K39" s="20">
        <f t="shared" si="10"/>
        <v>0.3</v>
      </c>
    </row>
    <row r="40" spans="1:11" x14ac:dyDescent="0.2">
      <c r="A40" s="20"/>
      <c r="B40" s="2"/>
      <c r="C40" s="23" t="str">
        <f>CONCATENATE("Min", C39)</f>
        <v>Min4</v>
      </c>
      <c r="D40" s="24" t="e">
        <f>IF(D39=MIN($D39:$J39), D39, NA())</f>
        <v>#N/A</v>
      </c>
      <c r="E40" s="24" t="e">
        <f t="shared" ref="E40:J40" si="13">IF(E39=MIN($D39:$J39), E39, NA())</f>
        <v>#N/A</v>
      </c>
      <c r="F40" s="24">
        <f t="shared" si="13"/>
        <v>760</v>
      </c>
      <c r="G40" s="24" t="e">
        <f t="shared" si="13"/>
        <v>#N/A</v>
      </c>
      <c r="H40" s="24" t="e">
        <f t="shared" si="13"/>
        <v>#N/A</v>
      </c>
      <c r="I40" s="24" t="e">
        <f t="shared" si="13"/>
        <v>#N/A</v>
      </c>
      <c r="J40" s="24" t="e">
        <f t="shared" si="13"/>
        <v>#N/A</v>
      </c>
      <c r="K40" s="20" t="e">
        <f t="shared" si="10"/>
        <v>#N/A</v>
      </c>
    </row>
    <row r="41" spans="1:11" x14ac:dyDescent="0.2">
      <c r="A41" s="20"/>
      <c r="B41" s="2"/>
      <c r="C41" s="23">
        <v>5</v>
      </c>
      <c r="D41" s="24">
        <f>IFERROR(($C41/D$9*$C$3)+(D$9/4)/$C$5*60*60*$C$4*2, 0)</f>
        <v>990</v>
      </c>
      <c r="E41" s="24">
        <f t="shared" ref="E41:J41" si="14">($C41/E$9*$C$3)+(E$9/4)/$C$5*60*60*$C$4*2</f>
        <v>900</v>
      </c>
      <c r="F41" s="24">
        <f t="shared" si="14"/>
        <v>860</v>
      </c>
      <c r="G41" s="24">
        <f t="shared" si="14"/>
        <v>848.57142857142856</v>
      </c>
      <c r="H41" s="24">
        <f t="shared" si="14"/>
        <v>855</v>
      </c>
      <c r="I41" s="24">
        <f t="shared" si="14"/>
        <v>873.33333333333326</v>
      </c>
      <c r="J41" s="24">
        <f t="shared" si="14"/>
        <v>900</v>
      </c>
      <c r="K41" s="20">
        <f t="shared" si="10"/>
        <v>0.35</v>
      </c>
    </row>
    <row r="42" spans="1:11" x14ac:dyDescent="0.2">
      <c r="A42" s="20"/>
      <c r="B42" s="2"/>
      <c r="C42" s="23" t="str">
        <f>CONCATENATE("Min", C41)</f>
        <v>Min5</v>
      </c>
      <c r="D42" s="24" t="e">
        <f>IF(D41=MIN($D41:$J41), D41, NA())</f>
        <v>#N/A</v>
      </c>
      <c r="E42" s="24" t="e">
        <f t="shared" ref="E42:J42" si="15">IF(E41=MIN($D41:$J41), E41, NA())</f>
        <v>#N/A</v>
      </c>
      <c r="F42" s="24" t="e">
        <f t="shared" si="15"/>
        <v>#N/A</v>
      </c>
      <c r="G42" s="24">
        <f t="shared" si="15"/>
        <v>848.57142857142856</v>
      </c>
      <c r="H42" s="24" t="e">
        <f t="shared" si="15"/>
        <v>#N/A</v>
      </c>
      <c r="I42" s="24" t="e">
        <f t="shared" si="15"/>
        <v>#N/A</v>
      </c>
      <c r="J42" s="24" t="e">
        <f t="shared" si="15"/>
        <v>#N/A</v>
      </c>
      <c r="K42" s="20" t="e">
        <f t="shared" si="10"/>
        <v>#N/A</v>
      </c>
    </row>
    <row r="43" spans="1:11" x14ac:dyDescent="0.2">
      <c r="A43" s="20"/>
      <c r="B43" s="2"/>
      <c r="C43" s="23">
        <v>5</v>
      </c>
      <c r="D43" s="24">
        <f>IFERROR(($C43/D$9*$C$3)+(D$9/4)/$C$5*60*60*$C$4*2, 0)</f>
        <v>990</v>
      </c>
      <c r="E43" s="24">
        <f t="shared" ref="E43:J43" si="16">($C43/E$9*$C$3)+(E$9/4)/$C$5*60*60*$C$4*2</f>
        <v>900</v>
      </c>
      <c r="F43" s="24">
        <f t="shared" si="16"/>
        <v>860</v>
      </c>
      <c r="G43" s="24">
        <f t="shared" si="16"/>
        <v>848.57142857142856</v>
      </c>
      <c r="H43" s="24">
        <f t="shared" si="16"/>
        <v>855</v>
      </c>
      <c r="I43" s="24">
        <f t="shared" si="16"/>
        <v>873.33333333333326</v>
      </c>
      <c r="J43" s="24">
        <f t="shared" si="16"/>
        <v>900</v>
      </c>
      <c r="K43" s="20">
        <f t="shared" si="10"/>
        <v>0.35</v>
      </c>
    </row>
    <row r="44" spans="1:11" x14ac:dyDescent="0.2">
      <c r="A44" s="20"/>
      <c r="B44" s="2"/>
      <c r="C44" s="23" t="str">
        <f>CONCATENATE("Min", C43)</f>
        <v>Min5</v>
      </c>
      <c r="D44" s="24" t="e">
        <f>IF(D43=MIN($D43:$J43), D43, NA())</f>
        <v>#N/A</v>
      </c>
      <c r="E44" s="24" t="e">
        <f t="shared" ref="E44:J44" si="17">IF(E43=MIN($D43:$J43), E43, NA())</f>
        <v>#N/A</v>
      </c>
      <c r="F44" s="24" t="e">
        <f t="shared" si="17"/>
        <v>#N/A</v>
      </c>
      <c r="G44" s="24">
        <f t="shared" si="17"/>
        <v>848.57142857142856</v>
      </c>
      <c r="H44" s="24" t="e">
        <f t="shared" si="17"/>
        <v>#N/A</v>
      </c>
      <c r="I44" s="24" t="e">
        <f t="shared" si="17"/>
        <v>#N/A</v>
      </c>
      <c r="J44" s="24" t="e">
        <f t="shared" si="17"/>
        <v>#N/A</v>
      </c>
      <c r="K44" s="20" t="e">
        <f t="shared" si="10"/>
        <v>#N/A</v>
      </c>
    </row>
    <row r="45" spans="1:11" x14ac:dyDescent="0.2">
      <c r="A45" s="20"/>
      <c r="B45" s="2"/>
      <c r="C45" s="23">
        <v>6</v>
      </c>
      <c r="D45" s="24">
        <f>IFERROR(($C45/D$9*$C$3)+(D$9/4)/$C$5*60*60*$C$4*2, 0)</f>
        <v>1140</v>
      </c>
      <c r="E45" s="24">
        <f t="shared" ref="E45:J45" si="18">($C45/E$9*$C$3)+(E$9/4)/$C$5*60*60*$C$4*2</f>
        <v>1020</v>
      </c>
      <c r="F45" s="24">
        <f t="shared" si="18"/>
        <v>960</v>
      </c>
      <c r="G45" s="24">
        <f t="shared" si="18"/>
        <v>934.28571428571422</v>
      </c>
      <c r="H45" s="24">
        <f t="shared" si="18"/>
        <v>930</v>
      </c>
      <c r="I45" s="24">
        <f t="shared" si="18"/>
        <v>940</v>
      </c>
      <c r="J45" s="24">
        <f t="shared" si="18"/>
        <v>960</v>
      </c>
      <c r="K45" s="20">
        <f t="shared" si="10"/>
        <v>0.4</v>
      </c>
    </row>
    <row r="46" spans="1:11" x14ac:dyDescent="0.2">
      <c r="A46" s="20"/>
      <c r="B46" s="2"/>
      <c r="C46" s="23" t="str">
        <f>CONCATENATE("Min", C45)</f>
        <v>Min6</v>
      </c>
      <c r="D46" s="24" t="e">
        <f>IF(D45=MIN($D45:$J45), D45, NA())</f>
        <v>#N/A</v>
      </c>
      <c r="E46" s="24" t="e">
        <f t="shared" ref="E46:J46" si="19">IF(E45=MIN($D45:$J45), E45, NA())</f>
        <v>#N/A</v>
      </c>
      <c r="F46" s="24" t="e">
        <f t="shared" si="19"/>
        <v>#N/A</v>
      </c>
      <c r="G46" s="24" t="e">
        <f t="shared" si="19"/>
        <v>#N/A</v>
      </c>
      <c r="H46" s="24">
        <f t="shared" si="19"/>
        <v>930</v>
      </c>
      <c r="I46" s="24" t="e">
        <f t="shared" si="19"/>
        <v>#N/A</v>
      </c>
      <c r="J46" s="24" t="e">
        <f t="shared" si="19"/>
        <v>#N/A</v>
      </c>
      <c r="K46" s="20" t="e">
        <f t="shared" si="10"/>
        <v>#N/A</v>
      </c>
    </row>
    <row r="47" spans="1:11" x14ac:dyDescent="0.2">
      <c r="A47" s="20"/>
      <c r="B47" s="2"/>
      <c r="C47" s="23">
        <v>7</v>
      </c>
      <c r="D47" s="24">
        <f>IFERROR(($C47/D$9*$C$3)+(D$9/4)/$C$5*60*60*$C$4*2, 0)</f>
        <v>1290</v>
      </c>
      <c r="E47" s="24">
        <f t="shared" ref="E47:J47" si="20">($C47/E$9*$C$3)+(E$9/4)/$C$5*60*60*$C$4*2</f>
        <v>1140</v>
      </c>
      <c r="F47" s="24">
        <f t="shared" si="20"/>
        <v>1060</v>
      </c>
      <c r="G47" s="24">
        <f t="shared" si="20"/>
        <v>1020</v>
      </c>
      <c r="H47" s="24">
        <f t="shared" si="20"/>
        <v>1005</v>
      </c>
      <c r="I47" s="24">
        <f t="shared" si="20"/>
        <v>1006.6666666666667</v>
      </c>
      <c r="J47" s="24">
        <f t="shared" si="20"/>
        <v>1020</v>
      </c>
      <c r="K47" s="20">
        <f t="shared" si="10"/>
        <v>0.4</v>
      </c>
    </row>
    <row r="48" spans="1:11" x14ac:dyDescent="0.2">
      <c r="A48" s="20"/>
      <c r="B48" s="2"/>
      <c r="C48" s="23" t="str">
        <f>CONCATENATE("Min", C47)</f>
        <v>Min7</v>
      </c>
      <c r="D48" s="24" t="e">
        <f>IF(D47=MIN($D47:$J47), D47, NA())</f>
        <v>#N/A</v>
      </c>
      <c r="E48" s="24" t="e">
        <f t="shared" ref="E48:J48" si="21">IF(E47=MIN($D47:$J47), E47, NA())</f>
        <v>#N/A</v>
      </c>
      <c r="F48" s="24" t="e">
        <f t="shared" si="21"/>
        <v>#N/A</v>
      </c>
      <c r="G48" s="24" t="e">
        <f t="shared" si="21"/>
        <v>#N/A</v>
      </c>
      <c r="H48" s="24">
        <f t="shared" si="21"/>
        <v>1005</v>
      </c>
      <c r="I48" s="24" t="e">
        <f t="shared" si="21"/>
        <v>#N/A</v>
      </c>
      <c r="J48" s="24" t="e">
        <f t="shared" si="21"/>
        <v>#N/A</v>
      </c>
      <c r="K48" s="20" t="e">
        <f t="shared" si="10"/>
        <v>#N/A</v>
      </c>
    </row>
    <row r="49" spans="1:11" x14ac:dyDescent="0.2">
      <c r="A49" s="20"/>
      <c r="B49" s="2"/>
      <c r="C49" s="23"/>
      <c r="D49" s="24">
        <f t="shared" ref="D49:D61" si="22">IFERROR(($C49/D$9*$C$3)+(D$9/4)/$C$5*60*60*$C$4*2, 0)</f>
        <v>240</v>
      </c>
      <c r="E49" s="24">
        <f t="shared" ref="E49:J61" si="23">($C49/E$9*$C$3)+(E$9/4)/$C$5*60*60*$C$4*2</f>
        <v>300</v>
      </c>
      <c r="F49" s="24">
        <f t="shared" si="23"/>
        <v>359.99999999999994</v>
      </c>
      <c r="G49" s="24">
        <f t="shared" si="23"/>
        <v>419.99999999999994</v>
      </c>
      <c r="H49" s="24">
        <f t="shared" si="23"/>
        <v>480</v>
      </c>
      <c r="I49" s="24">
        <f t="shared" si="23"/>
        <v>540</v>
      </c>
      <c r="J49" s="24">
        <f t="shared" si="23"/>
        <v>600</v>
      </c>
      <c r="K49" s="20">
        <f t="shared" si="10"/>
        <v>0.2</v>
      </c>
    </row>
    <row r="50" spans="1:11" x14ac:dyDescent="0.2">
      <c r="A50" s="20"/>
      <c r="B50" s="2"/>
      <c r="C50" s="23"/>
      <c r="D50" s="24">
        <f t="shared" si="22"/>
        <v>240</v>
      </c>
      <c r="E50" s="24">
        <f t="shared" si="23"/>
        <v>300</v>
      </c>
      <c r="F50" s="24">
        <f t="shared" si="23"/>
        <v>359.99999999999994</v>
      </c>
      <c r="G50" s="24">
        <f t="shared" si="23"/>
        <v>419.99999999999994</v>
      </c>
      <c r="H50" s="24">
        <f t="shared" si="23"/>
        <v>480</v>
      </c>
      <c r="I50" s="24">
        <f t="shared" si="23"/>
        <v>540</v>
      </c>
      <c r="J50" s="24">
        <f t="shared" si="23"/>
        <v>600</v>
      </c>
      <c r="K50" s="20">
        <f t="shared" si="10"/>
        <v>0.2</v>
      </c>
    </row>
    <row r="51" spans="1:11" x14ac:dyDescent="0.2">
      <c r="A51" s="20"/>
      <c r="B51" s="2"/>
      <c r="C51" s="23"/>
      <c r="D51" s="24">
        <f t="shared" si="22"/>
        <v>240</v>
      </c>
      <c r="E51" s="24">
        <f t="shared" si="23"/>
        <v>300</v>
      </c>
      <c r="F51" s="24">
        <f t="shared" si="23"/>
        <v>359.99999999999994</v>
      </c>
      <c r="G51" s="24">
        <f t="shared" si="23"/>
        <v>419.99999999999994</v>
      </c>
      <c r="H51" s="24">
        <f t="shared" si="23"/>
        <v>480</v>
      </c>
      <c r="I51" s="24">
        <f t="shared" si="23"/>
        <v>540</v>
      </c>
      <c r="J51" s="24">
        <f t="shared" si="23"/>
        <v>600</v>
      </c>
      <c r="K51" s="20">
        <f t="shared" si="10"/>
        <v>0.2</v>
      </c>
    </row>
    <row r="52" spans="1:11" x14ac:dyDescent="0.2">
      <c r="A52" s="20"/>
      <c r="B52" s="2"/>
      <c r="C52" s="23"/>
      <c r="D52" s="24">
        <f t="shared" si="22"/>
        <v>240</v>
      </c>
      <c r="E52" s="24">
        <f t="shared" si="23"/>
        <v>300</v>
      </c>
      <c r="F52" s="24">
        <f t="shared" si="23"/>
        <v>359.99999999999994</v>
      </c>
      <c r="G52" s="24">
        <f t="shared" si="23"/>
        <v>419.99999999999994</v>
      </c>
      <c r="H52" s="24">
        <f t="shared" si="23"/>
        <v>480</v>
      </c>
      <c r="I52" s="24">
        <f t="shared" si="23"/>
        <v>540</v>
      </c>
      <c r="J52" s="24">
        <f t="shared" si="23"/>
        <v>600</v>
      </c>
      <c r="K52" s="20">
        <f t="shared" si="10"/>
        <v>0.2</v>
      </c>
    </row>
    <row r="53" spans="1:11" x14ac:dyDescent="0.2">
      <c r="A53" s="20"/>
      <c r="B53" s="2"/>
      <c r="C53" s="23"/>
      <c r="D53" s="24">
        <f t="shared" si="22"/>
        <v>240</v>
      </c>
      <c r="E53" s="24">
        <f t="shared" si="23"/>
        <v>300</v>
      </c>
      <c r="F53" s="24">
        <f t="shared" si="23"/>
        <v>359.99999999999994</v>
      </c>
      <c r="G53" s="24">
        <f t="shared" si="23"/>
        <v>419.99999999999994</v>
      </c>
      <c r="H53" s="24">
        <f t="shared" si="23"/>
        <v>480</v>
      </c>
      <c r="I53" s="24">
        <f t="shared" si="23"/>
        <v>540</v>
      </c>
      <c r="J53" s="24">
        <f t="shared" si="23"/>
        <v>600</v>
      </c>
      <c r="K53" s="20">
        <f t="shared" si="10"/>
        <v>0.2</v>
      </c>
    </row>
    <row r="54" spans="1:11" x14ac:dyDescent="0.2">
      <c r="A54" s="20"/>
      <c r="B54" s="2"/>
      <c r="C54" s="23"/>
      <c r="D54" s="24">
        <f t="shared" si="22"/>
        <v>240</v>
      </c>
      <c r="E54" s="24">
        <f t="shared" si="23"/>
        <v>300</v>
      </c>
      <c r="F54" s="24">
        <f t="shared" si="23"/>
        <v>359.99999999999994</v>
      </c>
      <c r="G54" s="24">
        <f t="shared" si="23"/>
        <v>419.99999999999994</v>
      </c>
      <c r="H54" s="24">
        <f t="shared" si="23"/>
        <v>480</v>
      </c>
      <c r="I54" s="24">
        <f t="shared" si="23"/>
        <v>540</v>
      </c>
      <c r="J54" s="24">
        <f t="shared" si="23"/>
        <v>600</v>
      </c>
      <c r="K54" s="20">
        <f t="shared" si="10"/>
        <v>0.2</v>
      </c>
    </row>
    <row r="55" spans="1:11" x14ac:dyDescent="0.2">
      <c r="A55" s="20"/>
      <c r="B55" s="2"/>
      <c r="C55" s="23"/>
      <c r="D55" s="24">
        <f t="shared" si="22"/>
        <v>240</v>
      </c>
      <c r="E55" s="24">
        <f t="shared" si="23"/>
        <v>300</v>
      </c>
      <c r="F55" s="24">
        <f t="shared" si="23"/>
        <v>359.99999999999994</v>
      </c>
      <c r="G55" s="24">
        <f t="shared" si="23"/>
        <v>419.99999999999994</v>
      </c>
      <c r="H55" s="24">
        <f t="shared" si="23"/>
        <v>480</v>
      </c>
      <c r="I55" s="24">
        <f t="shared" si="23"/>
        <v>540</v>
      </c>
      <c r="J55" s="24">
        <f t="shared" si="23"/>
        <v>600</v>
      </c>
      <c r="K55" s="20">
        <f t="shared" si="10"/>
        <v>0.2</v>
      </c>
    </row>
    <row r="56" spans="1:11" x14ac:dyDescent="0.2">
      <c r="A56" s="20"/>
      <c r="B56" s="2"/>
      <c r="C56" s="23"/>
      <c r="D56" s="24">
        <f t="shared" si="22"/>
        <v>240</v>
      </c>
      <c r="E56" s="24">
        <f t="shared" si="23"/>
        <v>300</v>
      </c>
      <c r="F56" s="24">
        <f t="shared" si="23"/>
        <v>359.99999999999994</v>
      </c>
      <c r="G56" s="24">
        <f t="shared" si="23"/>
        <v>419.99999999999994</v>
      </c>
      <c r="H56" s="24">
        <f t="shared" si="23"/>
        <v>480</v>
      </c>
      <c r="I56" s="24">
        <f t="shared" si="23"/>
        <v>540</v>
      </c>
      <c r="J56" s="24">
        <f t="shared" si="23"/>
        <v>600</v>
      </c>
      <c r="K56" s="20">
        <f t="shared" si="10"/>
        <v>0.2</v>
      </c>
    </row>
    <row r="57" spans="1:11" x14ac:dyDescent="0.2">
      <c r="A57" s="20"/>
      <c r="B57" s="2"/>
      <c r="C57" s="23"/>
      <c r="D57" s="24">
        <f t="shared" si="22"/>
        <v>240</v>
      </c>
      <c r="E57" s="24">
        <f t="shared" si="23"/>
        <v>300</v>
      </c>
      <c r="F57" s="24">
        <f t="shared" si="23"/>
        <v>359.99999999999994</v>
      </c>
      <c r="G57" s="24">
        <f t="shared" si="23"/>
        <v>419.99999999999994</v>
      </c>
      <c r="H57" s="24">
        <f t="shared" si="23"/>
        <v>480</v>
      </c>
      <c r="I57" s="24">
        <f t="shared" si="23"/>
        <v>540</v>
      </c>
      <c r="J57" s="24">
        <f t="shared" si="23"/>
        <v>600</v>
      </c>
      <c r="K57" s="20">
        <f t="shared" si="10"/>
        <v>0.2</v>
      </c>
    </row>
    <row r="58" spans="1:11" x14ac:dyDescent="0.2">
      <c r="A58" s="20"/>
      <c r="B58" s="2"/>
      <c r="C58" s="23"/>
      <c r="D58" s="24">
        <f t="shared" si="22"/>
        <v>240</v>
      </c>
      <c r="E58" s="24">
        <f t="shared" si="23"/>
        <v>300</v>
      </c>
      <c r="F58" s="24">
        <f t="shared" si="23"/>
        <v>359.99999999999994</v>
      </c>
      <c r="G58" s="24">
        <f t="shared" si="23"/>
        <v>419.99999999999994</v>
      </c>
      <c r="H58" s="24">
        <f t="shared" si="23"/>
        <v>480</v>
      </c>
      <c r="I58" s="24">
        <f t="shared" si="23"/>
        <v>540</v>
      </c>
      <c r="J58" s="24">
        <f t="shared" si="23"/>
        <v>600</v>
      </c>
      <c r="K58" s="20">
        <f t="shared" si="10"/>
        <v>0.2</v>
      </c>
    </row>
    <row r="59" spans="1:11" x14ac:dyDescent="0.2">
      <c r="A59" s="20"/>
      <c r="B59" s="2"/>
      <c r="C59" s="23"/>
      <c r="D59" s="24">
        <f t="shared" si="22"/>
        <v>240</v>
      </c>
      <c r="E59" s="24">
        <f t="shared" si="23"/>
        <v>300</v>
      </c>
      <c r="F59" s="24">
        <f t="shared" si="23"/>
        <v>359.99999999999994</v>
      </c>
      <c r="G59" s="24">
        <f t="shared" si="23"/>
        <v>419.99999999999994</v>
      </c>
      <c r="H59" s="24">
        <f t="shared" si="23"/>
        <v>480</v>
      </c>
      <c r="I59" s="24">
        <f t="shared" si="23"/>
        <v>540</v>
      </c>
      <c r="J59" s="24">
        <f t="shared" si="23"/>
        <v>600</v>
      </c>
      <c r="K59" s="20">
        <f t="shared" si="10"/>
        <v>0.2</v>
      </c>
    </row>
    <row r="60" spans="1:11" x14ac:dyDescent="0.2">
      <c r="A60" s="20"/>
      <c r="B60" s="2"/>
      <c r="C60" s="23"/>
      <c r="D60" s="24">
        <f t="shared" si="22"/>
        <v>240</v>
      </c>
      <c r="E60" s="24">
        <f t="shared" si="23"/>
        <v>300</v>
      </c>
      <c r="F60" s="24">
        <f t="shared" si="23"/>
        <v>359.99999999999994</v>
      </c>
      <c r="G60" s="24">
        <f t="shared" si="23"/>
        <v>419.99999999999994</v>
      </c>
      <c r="H60" s="24">
        <f t="shared" si="23"/>
        <v>480</v>
      </c>
      <c r="I60" s="24">
        <f t="shared" si="23"/>
        <v>540</v>
      </c>
      <c r="J60" s="24">
        <f t="shared" si="23"/>
        <v>600</v>
      </c>
      <c r="K60" s="20">
        <f t="shared" si="10"/>
        <v>0.2</v>
      </c>
    </row>
    <row r="61" spans="1:11" x14ac:dyDescent="0.2">
      <c r="A61" s="20"/>
      <c r="B61" s="2"/>
      <c r="C61" s="23"/>
      <c r="D61" s="24">
        <f t="shared" si="22"/>
        <v>240</v>
      </c>
      <c r="E61" s="24">
        <f t="shared" si="23"/>
        <v>300</v>
      </c>
      <c r="F61" s="24">
        <f t="shared" si="23"/>
        <v>359.99999999999994</v>
      </c>
      <c r="G61" s="24">
        <f t="shared" si="23"/>
        <v>419.99999999999994</v>
      </c>
      <c r="H61" s="24">
        <f t="shared" si="23"/>
        <v>480</v>
      </c>
      <c r="I61" s="24">
        <f t="shared" si="23"/>
        <v>540</v>
      </c>
      <c r="J61" s="24">
        <f t="shared" si="23"/>
        <v>600</v>
      </c>
      <c r="K61" s="20">
        <f t="shared" si="10"/>
        <v>0.2</v>
      </c>
    </row>
    <row r="82" spans="12:12" x14ac:dyDescent="0.2">
      <c r="L82" s="22" t="s">
        <v>36</v>
      </c>
    </row>
    <row r="83" spans="12:12" x14ac:dyDescent="0.2">
      <c r="L83" s="28">
        <f>MIN(D35:J35)</f>
        <v>540</v>
      </c>
    </row>
    <row r="84" spans="12:12" x14ac:dyDescent="0.2">
      <c r="L84" s="28"/>
    </row>
    <row r="85" spans="12:12" x14ac:dyDescent="0.2">
      <c r="L85" s="28">
        <f t="shared" ref="L85:L89" si="24">MIN(D37:J37)</f>
        <v>660</v>
      </c>
    </row>
    <row r="86" spans="12:12" x14ac:dyDescent="0.2">
      <c r="L86" s="28"/>
    </row>
    <row r="87" spans="12:12" x14ac:dyDescent="0.2">
      <c r="L87" s="28">
        <f t="shared" si="24"/>
        <v>760</v>
      </c>
    </row>
    <row r="88" spans="12:12" x14ac:dyDescent="0.2">
      <c r="L88" s="28"/>
    </row>
    <row r="89" spans="12:12" x14ac:dyDescent="0.2">
      <c r="L89" s="28">
        <f t="shared" si="24"/>
        <v>848.57142857142856</v>
      </c>
    </row>
    <row r="90" spans="12:12" x14ac:dyDescent="0.2">
      <c r="L90" s="28"/>
    </row>
  </sheetData>
  <phoneticPr fontId="18" type="noConversion"/>
  <conditionalFormatting sqref="D10:J27 L10:L27">
    <cfRule type="expression" dxfId="9" priority="10">
      <formula>D10=MIN($D10:$J10)</formula>
    </cfRule>
  </conditionalFormatting>
  <conditionalFormatting sqref="D38:J38">
    <cfRule type="expression" dxfId="8" priority="9">
      <formula>D38=MIN($D38:$J38)</formula>
    </cfRule>
  </conditionalFormatting>
  <conditionalFormatting sqref="D40:J40">
    <cfRule type="expression" dxfId="7" priority="8">
      <formula>D40=MIN($D40:$J40)</formula>
    </cfRule>
  </conditionalFormatting>
  <conditionalFormatting sqref="D42:J42">
    <cfRule type="expression" dxfId="6" priority="7">
      <formula>D42=MIN($D42:$J42)</formula>
    </cfRule>
  </conditionalFormatting>
  <conditionalFormatting sqref="D43:J43">
    <cfRule type="expression" dxfId="5" priority="6">
      <formula>D43=MIN($D43:$J43)</formula>
    </cfRule>
  </conditionalFormatting>
  <conditionalFormatting sqref="D44:J44">
    <cfRule type="expression" dxfId="4" priority="5">
      <formula>D44=MIN($D44:$J44)</formula>
    </cfRule>
  </conditionalFormatting>
  <conditionalFormatting sqref="D45:J45">
    <cfRule type="expression" dxfId="3" priority="4">
      <formula>D45=MIN($D45:$J45)</formula>
    </cfRule>
  </conditionalFormatting>
  <conditionalFormatting sqref="D46:J46">
    <cfRule type="expression" dxfId="2" priority="3">
      <formula>D46=MIN($D46:$J46)</formula>
    </cfRule>
  </conditionalFormatting>
  <conditionalFormatting sqref="D47:J47">
    <cfRule type="expression" dxfId="1" priority="2">
      <formula>D47=MIN($D47:$J47)</formula>
    </cfRule>
  </conditionalFormatting>
  <conditionalFormatting sqref="D48:J48">
    <cfRule type="expression" dxfId="0" priority="1">
      <formula>D48=MIN($D48:$J48)</formula>
    </cfRule>
  </conditionalFormatting>
  <hyperlinks>
    <hyperlink ref="P26" r:id="rId1"/>
  </hyperlinks>
  <pageMargins left="0.5" right="0.5" top="0.75" bottom="0.75" header="0.3" footer="0.3"/>
  <pageSetup pageOrder="overThenDown" orientation="landscape" r:id="rId2"/>
  <headerFooter>
    <oddHeader>&amp;C&amp;"-,Bold"&amp;16Optimal RapidRide Stop Spacing Analysis (4)</oddHead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6"/>
  <sheetViews>
    <sheetView topLeftCell="B1" workbookViewId="0">
      <selection activeCell="F13" sqref="F13"/>
    </sheetView>
  </sheetViews>
  <sheetFormatPr baseColWidth="10" defaultColWidth="8.83203125" defaultRowHeight="15" x14ac:dyDescent="0.2"/>
  <cols>
    <col min="11" max="11" width="12.5" customWidth="1"/>
  </cols>
  <sheetData>
    <row r="1" spans="3:23" x14ac:dyDescent="0.2">
      <c r="P1" s="35"/>
      <c r="Q1" s="35"/>
      <c r="R1" s="35"/>
      <c r="S1" s="35"/>
      <c r="T1" s="35"/>
      <c r="U1" s="35"/>
      <c r="V1" s="35"/>
      <c r="W1" s="35"/>
    </row>
    <row r="2" spans="3:23" x14ac:dyDescent="0.2">
      <c r="P2" s="42"/>
      <c r="Q2" s="42"/>
      <c r="R2" s="42"/>
    </row>
    <row r="3" spans="3:23" x14ac:dyDescent="0.2">
      <c r="C3" s="41" t="s">
        <v>81</v>
      </c>
      <c r="D3" s="35"/>
      <c r="E3" s="35"/>
      <c r="F3" s="35"/>
      <c r="G3" s="35"/>
      <c r="P3" s="42"/>
      <c r="Q3" s="42"/>
      <c r="R3" s="42"/>
    </row>
    <row r="4" spans="3:23" ht="30" x14ac:dyDescent="0.2">
      <c r="C4" s="36" t="s">
        <v>53</v>
      </c>
      <c r="D4" s="36" t="s">
        <v>60</v>
      </c>
      <c r="E4" s="36" t="s">
        <v>54</v>
      </c>
      <c r="F4" s="36" t="s">
        <v>55</v>
      </c>
      <c r="G4" s="36" t="s">
        <v>56</v>
      </c>
      <c r="I4" s="35"/>
      <c r="J4" s="35"/>
      <c r="K4" s="35"/>
      <c r="M4" s="40" t="s">
        <v>68</v>
      </c>
      <c r="N4" s="41" t="s">
        <v>76</v>
      </c>
      <c r="O4" s="35"/>
      <c r="P4" s="42"/>
      <c r="Q4" s="42"/>
      <c r="R4" s="42"/>
    </row>
    <row r="5" spans="3:23" x14ac:dyDescent="0.2">
      <c r="C5" t="s">
        <v>57</v>
      </c>
      <c r="D5" s="46">
        <v>8</v>
      </c>
      <c r="E5" s="46">
        <v>10</v>
      </c>
      <c r="F5">
        <f>D5*(60/E5)</f>
        <v>48</v>
      </c>
      <c r="G5">
        <f>F5*$J$5</f>
        <v>12240</v>
      </c>
      <c r="I5" t="s">
        <v>61</v>
      </c>
      <c r="J5">
        <v>255</v>
      </c>
      <c r="K5" t="s">
        <v>62</v>
      </c>
      <c r="M5" s="42">
        <f>4+4</f>
        <v>8</v>
      </c>
      <c r="N5" s="42" t="s">
        <v>77</v>
      </c>
      <c r="O5" s="42"/>
      <c r="P5" s="42"/>
      <c r="Q5" s="42"/>
      <c r="R5" s="42"/>
    </row>
    <row r="6" spans="3:23" x14ac:dyDescent="0.2">
      <c r="C6" t="s">
        <v>58</v>
      </c>
      <c r="D6" s="46">
        <v>6</v>
      </c>
      <c r="E6" s="46">
        <v>15</v>
      </c>
      <c r="F6">
        <f>D6*(60/E6)</f>
        <v>24</v>
      </c>
      <c r="G6">
        <f>F6*$J$5</f>
        <v>6120</v>
      </c>
      <c r="I6" s="35" t="s">
        <v>63</v>
      </c>
      <c r="J6" s="35">
        <v>110</v>
      </c>
      <c r="K6" s="35" t="s">
        <v>64</v>
      </c>
      <c r="M6" s="42">
        <v>6</v>
      </c>
      <c r="N6" s="42" t="s">
        <v>66</v>
      </c>
      <c r="O6" s="42"/>
      <c r="P6" s="42"/>
      <c r="Q6" s="42"/>
      <c r="R6" s="42"/>
    </row>
    <row r="7" spans="3:23" x14ac:dyDescent="0.2">
      <c r="C7" t="s">
        <v>59</v>
      </c>
      <c r="D7" s="46">
        <v>5</v>
      </c>
      <c r="E7" s="46">
        <v>20</v>
      </c>
      <c r="F7">
        <f>D7*(60/E7)</f>
        <v>15</v>
      </c>
      <c r="G7">
        <f>F7*$J$5</f>
        <v>3825</v>
      </c>
      <c r="M7" s="42">
        <v>5</v>
      </c>
      <c r="N7" s="42" t="s">
        <v>67</v>
      </c>
      <c r="O7" s="42"/>
      <c r="P7" s="42"/>
      <c r="Q7" s="42"/>
      <c r="R7" s="42"/>
    </row>
    <row r="8" spans="3:23" x14ac:dyDescent="0.2">
      <c r="C8" s="35" t="s">
        <v>65</v>
      </c>
      <c r="D8" s="47">
        <v>14</v>
      </c>
      <c r="E8" s="47">
        <v>15</v>
      </c>
      <c r="F8" s="35">
        <f>D8*(60/E8)</f>
        <v>56</v>
      </c>
      <c r="G8" s="35">
        <f>$J$6</f>
        <v>110</v>
      </c>
      <c r="M8" s="42"/>
      <c r="O8" s="43" t="s">
        <v>78</v>
      </c>
      <c r="P8" s="42"/>
      <c r="Q8" s="42"/>
      <c r="R8" s="42"/>
    </row>
    <row r="9" spans="3:23" x14ac:dyDescent="0.2">
      <c r="E9" s="49"/>
      <c r="F9" s="50" t="s">
        <v>93</v>
      </c>
      <c r="G9" s="49">
        <f>SUM(G5:G8)</f>
        <v>22295</v>
      </c>
      <c r="M9" s="44">
        <v>14</v>
      </c>
      <c r="N9" s="45" t="s">
        <v>79</v>
      </c>
      <c r="O9" s="44"/>
      <c r="P9" s="44"/>
      <c r="Q9" s="42"/>
      <c r="R9" s="42"/>
    </row>
    <row r="10" spans="3:23" x14ac:dyDescent="0.2">
      <c r="F10" s="48" t="s">
        <v>82</v>
      </c>
      <c r="G10" s="22">
        <f>G9*2</f>
        <v>44590</v>
      </c>
      <c r="M10" s="42"/>
      <c r="N10" s="42"/>
      <c r="O10" s="42"/>
      <c r="P10" s="42"/>
      <c r="Q10" s="42"/>
      <c r="R10" s="42"/>
    </row>
    <row r="11" spans="3:23" x14ac:dyDescent="0.2">
      <c r="M11" s="42"/>
      <c r="N11" s="42"/>
      <c r="O11" s="42"/>
      <c r="P11" s="42"/>
      <c r="Q11" s="42"/>
      <c r="R11" s="42"/>
    </row>
    <row r="12" spans="3:23" x14ac:dyDescent="0.2">
      <c r="M12" s="42"/>
      <c r="N12" s="42" t="s">
        <v>72</v>
      </c>
      <c r="O12" s="42"/>
      <c r="P12" s="42"/>
      <c r="Q12" s="42"/>
      <c r="R12" s="42"/>
    </row>
    <row r="13" spans="3:23" x14ac:dyDescent="0.2">
      <c r="E13" s="48" t="s">
        <v>80</v>
      </c>
      <c r="F13" s="1">
        <f>SUM(F5:F7)</f>
        <v>87</v>
      </c>
      <c r="M13" s="42"/>
      <c r="N13" s="42" t="s">
        <v>74</v>
      </c>
      <c r="O13" s="42"/>
      <c r="P13" s="42"/>
      <c r="Q13" s="42"/>
      <c r="R13" s="42"/>
    </row>
    <row r="14" spans="3:23" x14ac:dyDescent="0.2">
      <c r="M14" s="42"/>
      <c r="N14" s="42" t="s">
        <v>73</v>
      </c>
      <c r="O14" s="42"/>
      <c r="P14" s="42"/>
      <c r="Q14" s="42"/>
      <c r="R14" s="42"/>
    </row>
    <row r="15" spans="3:23" x14ac:dyDescent="0.2">
      <c r="M15" s="42"/>
      <c r="N15" s="42"/>
      <c r="O15" s="42"/>
      <c r="P15" s="42"/>
      <c r="Q15" s="42"/>
      <c r="R15" s="42"/>
    </row>
    <row r="16" spans="3:23" x14ac:dyDescent="0.2">
      <c r="M16" s="42"/>
      <c r="N16" s="42"/>
      <c r="O16" s="42"/>
      <c r="P16" s="42"/>
      <c r="Q16" s="42"/>
      <c r="R16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Initial Assessment</vt:lpstr>
      <vt:lpstr>1) 15,1.5</vt:lpstr>
      <vt:lpstr>2) 15, 2.0</vt:lpstr>
      <vt:lpstr>3) 30, 1.5</vt:lpstr>
      <vt:lpstr>4) 30, 2.0</vt:lpstr>
      <vt:lpstr>Est. Annual RR Trips</vt:lpstr>
    </vt:vector>
  </TitlesOfParts>
  <Manager/>
  <Company>King County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Stover, Victor</dc:creator>
  <cp:keywords/>
  <dc:description/>
  <cp:lastModifiedBy>Microsoft Office User</cp:lastModifiedBy>
  <cp:revision/>
  <cp:lastPrinted>2018-08-28T19:36:23Z</cp:lastPrinted>
  <dcterms:created xsi:type="dcterms:W3CDTF">2018-07-12T23:38:31Z</dcterms:created>
  <dcterms:modified xsi:type="dcterms:W3CDTF">2019-05-05T19:17:42Z</dcterms:modified>
  <cp:category/>
  <cp:contentStatus/>
</cp:coreProperties>
</file>